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R:\Unidades do Interior\JAC-Jacobina\Licitação 2018 - Construção\Arquivos CD Licitação\"/>
    </mc:Choice>
  </mc:AlternateContent>
  <bookViews>
    <workbookView xWindow="0" yWindow="0" windowWidth="28800" windowHeight="12210"/>
  </bookViews>
  <sheets>
    <sheet name="Proposta de preços" sheetId="1" r:id="rId1"/>
    <sheet name="Planilha de Cotação" sheetId="2" r:id="rId2"/>
    <sheet name="Cronograma físico-financeiro" sheetId="3" r:id="rId3"/>
  </sheets>
  <definedNames>
    <definedName name="_FilterDatabase_0" localSheetId="1">'Planilha de Cotação'!$A$10:$G$743</definedName>
    <definedName name="_FilterDatabase_0_0" localSheetId="1">'Planilha de Cotação'!$A$10:$G$743</definedName>
    <definedName name="_FilterDatabase_0_0_0" localSheetId="1">'Planilha de Cotação'!$A$10:$G$743</definedName>
    <definedName name="_xlnm._FilterDatabase" localSheetId="1">'Planilha de Cotação'!$A$10:$G$743</definedName>
    <definedName name="_xlnm.Print_Area" localSheetId="2">'Cronograma físico-financeiro'!$A$1:$K$68</definedName>
    <definedName name="_xlnm.Print_Area" localSheetId="1">'Planilha de Cotação'!$A$1:$G$775</definedName>
    <definedName name="_xlnm.Print_Area" localSheetId="0">'Proposta de preços'!$A$1:$H$53</definedName>
    <definedName name="Print_Area_0" localSheetId="2">'Cronograma físico-financeiro'!$A$1:$K$68</definedName>
    <definedName name="Print_Area_0_0" localSheetId="2">'Cronograma físico-financeiro'!$A$1:$K$68</definedName>
    <definedName name="Print_Area_0_0_0" localSheetId="2">'Cronograma físico-financeiro'!$A$1:$K$68</definedName>
    <definedName name="Print_Titles_0" localSheetId="2">'Cronograma físico-financeiro'!$A:$B</definedName>
    <definedName name="Print_Titles_0" localSheetId="1">'Planilha de Cotação'!$10:$10</definedName>
    <definedName name="Print_Titles_0_0" localSheetId="2">'Cronograma físico-financeiro'!$A:$B</definedName>
    <definedName name="Print_Titles_0_0" localSheetId="1">'Planilha de Cotação'!$10:$10</definedName>
    <definedName name="Print_Titles_0_0_0" localSheetId="2">'Cronograma físico-financeiro'!$A:$B</definedName>
    <definedName name="Print_Titles_0_0_0" localSheetId="1">'Planilha de Cotação'!$10:$10</definedName>
    <definedName name="_xlnm.Print_Titles" localSheetId="2">'Cronograma físico-financeiro'!$A:$B</definedName>
    <definedName name="_xlnm.Print_Titles" localSheetId="1">'Planilha de Cotação'!$10:$10</definedName>
  </definedNames>
  <calcPr calcId="171027"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G7" i="2" l="1"/>
  <c r="C62" i="3" l="1"/>
  <c r="C60" i="3"/>
  <c r="C58" i="3"/>
  <c r="C56" i="3"/>
  <c r="C54" i="3"/>
  <c r="C52" i="3"/>
  <c r="C50" i="3"/>
  <c r="C48" i="3"/>
  <c r="C46" i="3"/>
  <c r="C44" i="3"/>
  <c r="C42" i="3"/>
  <c r="C40" i="3"/>
  <c r="C38" i="3"/>
  <c r="C36" i="3"/>
  <c r="C34" i="3"/>
  <c r="C32" i="3"/>
  <c r="C30" i="3"/>
  <c r="C28" i="3"/>
  <c r="C26" i="3"/>
  <c r="C24" i="3"/>
  <c r="C22" i="3"/>
  <c r="C20" i="3"/>
  <c r="C18" i="3"/>
  <c r="C16" i="3"/>
  <c r="C14" i="3"/>
  <c r="C12" i="3"/>
  <c r="F768" i="2" l="1"/>
  <c r="G768" i="2" s="1"/>
  <c r="F767" i="2"/>
  <c r="G767" i="2" s="1"/>
  <c r="F766" i="2"/>
  <c r="G766" i="2" s="1"/>
  <c r="F746" i="2"/>
  <c r="G746" i="2" s="1"/>
  <c r="F745" i="2"/>
  <c r="G745" i="2" s="1"/>
  <c r="F741" i="2"/>
  <c r="G741" i="2" s="1"/>
  <c r="F740" i="2"/>
  <c r="G740" i="2" s="1"/>
  <c r="F739" i="2"/>
  <c r="G739" i="2" s="1"/>
  <c r="F738" i="2"/>
  <c r="G738" i="2" s="1"/>
  <c r="F737" i="2"/>
  <c r="G737" i="2" s="1"/>
  <c r="F736" i="2"/>
  <c r="G736" i="2" s="1"/>
  <c r="F728" i="2"/>
  <c r="G728" i="2" s="1"/>
  <c r="F727" i="2"/>
  <c r="G727" i="2" s="1"/>
  <c r="F726" i="2"/>
  <c r="G726" i="2" s="1"/>
  <c r="F725" i="2"/>
  <c r="G725" i="2" s="1"/>
  <c r="F724" i="2"/>
  <c r="G724" i="2" s="1"/>
  <c r="F723" i="2"/>
  <c r="G723" i="2" s="1"/>
  <c r="F722" i="2"/>
  <c r="G722" i="2" s="1"/>
  <c r="F721" i="2"/>
  <c r="G721" i="2" s="1"/>
  <c r="F720" i="2"/>
  <c r="G720" i="2" s="1"/>
  <c r="F717" i="2"/>
  <c r="G717" i="2" s="1"/>
  <c r="F716" i="2"/>
  <c r="G716" i="2" s="1"/>
  <c r="F709" i="2"/>
  <c r="G709" i="2" s="1"/>
  <c r="G708" i="2" s="1"/>
  <c r="F696" i="2"/>
  <c r="G696" i="2" s="1"/>
  <c r="F695" i="2"/>
  <c r="G695" i="2" s="1"/>
  <c r="F694" i="2"/>
  <c r="G694" i="2" s="1"/>
  <c r="F693" i="2"/>
  <c r="G693" i="2" s="1"/>
  <c r="F692" i="2"/>
  <c r="G692" i="2" s="1"/>
  <c r="F691" i="2"/>
  <c r="G691" i="2" s="1"/>
  <c r="F666" i="2"/>
  <c r="G666" i="2" s="1"/>
  <c r="F665" i="2"/>
  <c r="G665" i="2" s="1"/>
  <c r="F664" i="2"/>
  <c r="G664" i="2" s="1"/>
  <c r="F663" i="2"/>
  <c r="G663" i="2" s="1"/>
  <c r="F660" i="2"/>
  <c r="G660" i="2" s="1"/>
  <c r="F659" i="2"/>
  <c r="G659" i="2" s="1"/>
  <c r="F658" i="2"/>
  <c r="G658" i="2" s="1"/>
  <c r="F657" i="2"/>
  <c r="G657" i="2" s="1"/>
  <c r="F656" i="2"/>
  <c r="G656" i="2" s="1"/>
  <c r="F655" i="2"/>
  <c r="G655" i="2" s="1"/>
  <c r="F654" i="2"/>
  <c r="G654" i="2" s="1"/>
  <c r="F637" i="2"/>
  <c r="G637" i="2" s="1"/>
  <c r="F636" i="2"/>
  <c r="G636" i="2" s="1"/>
  <c r="F635" i="2"/>
  <c r="G635" i="2" s="1"/>
  <c r="F634" i="2"/>
  <c r="G634" i="2" s="1"/>
  <c r="F633" i="2"/>
  <c r="G633" i="2" s="1"/>
  <c r="F632" i="2"/>
  <c r="G632" i="2" s="1"/>
  <c r="F631" i="2"/>
  <c r="G631" i="2" s="1"/>
  <c r="F630" i="2"/>
  <c r="G630" i="2" s="1"/>
  <c r="F629" i="2"/>
  <c r="G629" i="2" s="1"/>
  <c r="F628" i="2"/>
  <c r="G628" i="2" s="1"/>
  <c r="F627" i="2"/>
  <c r="G627" i="2" s="1"/>
  <c r="F626" i="2"/>
  <c r="G626" i="2" s="1"/>
  <c r="F625" i="2"/>
  <c r="G625" i="2" s="1"/>
  <c r="F624" i="2"/>
  <c r="G624" i="2" s="1"/>
  <c r="F623" i="2"/>
  <c r="G623" i="2" s="1"/>
  <c r="F622" i="2"/>
  <c r="G622" i="2" s="1"/>
  <c r="F621" i="2"/>
  <c r="G621" i="2" s="1"/>
  <c r="F620" i="2"/>
  <c r="G620" i="2" s="1"/>
  <c r="F619" i="2"/>
  <c r="G619" i="2" s="1"/>
  <c r="F618" i="2"/>
  <c r="G618" i="2" s="1"/>
  <c r="F617" i="2"/>
  <c r="G617" i="2" s="1"/>
  <c r="F616" i="2"/>
  <c r="G616" i="2" s="1"/>
  <c r="F615" i="2"/>
  <c r="G615" i="2" s="1"/>
  <c r="F614" i="2"/>
  <c r="G614" i="2" s="1"/>
  <c r="F613" i="2"/>
  <c r="G613" i="2" s="1"/>
  <c r="F612" i="2"/>
  <c r="G612" i="2" s="1"/>
  <c r="F611" i="2"/>
  <c r="G611" i="2" s="1"/>
  <c r="F610" i="2"/>
  <c r="G610" i="2" s="1"/>
  <c r="F609" i="2"/>
  <c r="G609" i="2" s="1"/>
  <c r="F606" i="2"/>
  <c r="G606" i="2" s="1"/>
  <c r="F605" i="2"/>
  <c r="G605" i="2" s="1"/>
  <c r="F604" i="2"/>
  <c r="G604" i="2" s="1"/>
  <c r="F603" i="2"/>
  <c r="G603" i="2" s="1"/>
  <c r="F602" i="2"/>
  <c r="G602" i="2" s="1"/>
  <c r="F601" i="2"/>
  <c r="G601" i="2" s="1"/>
  <c r="F600" i="2"/>
  <c r="G600" i="2" s="1"/>
  <c r="F599" i="2"/>
  <c r="G599" i="2" s="1"/>
  <c r="F598" i="2"/>
  <c r="G598" i="2" s="1"/>
  <c r="F597" i="2"/>
  <c r="G597" i="2" s="1"/>
  <c r="F572" i="2"/>
  <c r="G572" i="2" s="1"/>
  <c r="F571" i="2"/>
  <c r="G571" i="2" s="1"/>
  <c r="F562" i="2"/>
  <c r="G562" i="2" s="1"/>
  <c r="F561" i="2"/>
  <c r="G561" i="2" s="1"/>
  <c r="F560" i="2"/>
  <c r="G560" i="2" s="1"/>
  <c r="F559" i="2"/>
  <c r="G559" i="2" s="1"/>
  <c r="F558" i="2"/>
  <c r="G558" i="2" s="1"/>
  <c r="F557" i="2"/>
  <c r="G557" i="2" s="1"/>
  <c r="F554" i="2"/>
  <c r="G554" i="2" s="1"/>
  <c r="F553" i="2"/>
  <c r="G553" i="2" s="1"/>
  <c r="F552" i="2"/>
  <c r="G552" i="2" s="1"/>
  <c r="F551" i="2"/>
  <c r="G551" i="2" s="1"/>
  <c r="F550" i="2"/>
  <c r="G550" i="2" s="1"/>
  <c r="F549" i="2"/>
  <c r="G549" i="2" s="1"/>
  <c r="F548" i="2"/>
  <c r="G548" i="2" s="1"/>
  <c r="F539" i="2"/>
  <c r="G539" i="2" s="1"/>
  <c r="F538" i="2"/>
  <c r="G538" i="2" s="1"/>
  <c r="F537" i="2"/>
  <c r="G537" i="2" s="1"/>
  <c r="F536" i="2"/>
  <c r="G536" i="2" s="1"/>
  <c r="F535" i="2"/>
  <c r="G535" i="2" s="1"/>
  <c r="F534" i="2"/>
  <c r="G534" i="2" s="1"/>
  <c r="F533" i="2"/>
  <c r="G533" i="2" s="1"/>
  <c r="F527" i="2"/>
  <c r="G527" i="2" s="1"/>
  <c r="F526" i="2"/>
  <c r="G526" i="2" s="1"/>
  <c r="F525" i="2"/>
  <c r="G525" i="2" s="1"/>
  <c r="F524" i="2"/>
  <c r="G524" i="2" s="1"/>
  <c r="F523" i="2"/>
  <c r="G523" i="2" s="1"/>
  <c r="F522" i="2"/>
  <c r="G522" i="2" s="1"/>
  <c r="F519" i="2"/>
  <c r="G519" i="2" s="1"/>
  <c r="F518" i="2"/>
  <c r="G518" i="2" s="1"/>
  <c r="F517" i="2"/>
  <c r="G517" i="2" s="1"/>
  <c r="F516" i="2"/>
  <c r="G516" i="2" s="1"/>
  <c r="F515" i="2"/>
  <c r="G515" i="2" s="1"/>
  <c r="F514" i="2"/>
  <c r="G514" i="2" s="1"/>
  <c r="F764" i="2"/>
  <c r="G764" i="2" s="1"/>
  <c r="F762" i="2"/>
  <c r="G762" i="2" s="1"/>
  <c r="F760" i="2"/>
  <c r="G760" i="2" s="1"/>
  <c r="F758" i="2"/>
  <c r="G758" i="2" s="1"/>
  <c r="F756" i="2"/>
  <c r="G756" i="2" s="1"/>
  <c r="F754" i="2"/>
  <c r="G754" i="2" s="1"/>
  <c r="F752" i="2"/>
  <c r="G752" i="2" s="1"/>
  <c r="F750" i="2"/>
  <c r="G750" i="2" s="1"/>
  <c r="F748" i="2"/>
  <c r="G748" i="2" s="1"/>
  <c r="F743" i="2"/>
  <c r="G743" i="2" s="1"/>
  <c r="G742" i="2" s="1"/>
  <c r="F734" i="2"/>
  <c r="G734" i="2" s="1"/>
  <c r="F732" i="2"/>
  <c r="G732" i="2" s="1"/>
  <c r="F730" i="2"/>
  <c r="G730" i="2" s="1"/>
  <c r="F714" i="2"/>
  <c r="G714" i="2" s="1"/>
  <c r="F712" i="2"/>
  <c r="G712" i="2" s="1"/>
  <c r="F707" i="2"/>
  <c r="G707" i="2" s="1"/>
  <c r="F705" i="2"/>
  <c r="G705" i="2" s="1"/>
  <c r="F703" i="2"/>
  <c r="G703" i="2" s="1"/>
  <c r="F701" i="2"/>
  <c r="G701" i="2" s="1"/>
  <c r="F699" i="2"/>
  <c r="G699" i="2" s="1"/>
  <c r="F688" i="2"/>
  <c r="G688" i="2" s="1"/>
  <c r="F686" i="2"/>
  <c r="G686" i="2" s="1"/>
  <c r="F684" i="2"/>
  <c r="G684" i="2" s="1"/>
  <c r="F682" i="2"/>
  <c r="G682" i="2" s="1"/>
  <c r="F680" i="2"/>
  <c r="G680" i="2" s="1"/>
  <c r="F678" i="2"/>
  <c r="G678" i="2" s="1"/>
  <c r="F676" i="2"/>
  <c r="G676" i="2" s="1"/>
  <c r="F674" i="2"/>
  <c r="G674" i="2" s="1"/>
  <c r="F672" i="2"/>
  <c r="G672" i="2" s="1"/>
  <c r="F670" i="2"/>
  <c r="G670" i="2" s="1"/>
  <c r="F668" i="2"/>
  <c r="G668" i="2" s="1"/>
  <c r="F652" i="2"/>
  <c r="G652" i="2" s="1"/>
  <c r="F650" i="2"/>
  <c r="G650" i="2" s="1"/>
  <c r="F648" i="2"/>
  <c r="G648" i="2" s="1"/>
  <c r="F646" i="2"/>
  <c r="G646" i="2" s="1"/>
  <c r="F644" i="2"/>
  <c r="G644" i="2" s="1"/>
  <c r="F642" i="2"/>
  <c r="G642" i="2" s="1"/>
  <c r="F640" i="2"/>
  <c r="G640" i="2" s="1"/>
  <c r="F594" i="2"/>
  <c r="G594" i="2" s="1"/>
  <c r="F592" i="2"/>
  <c r="G592" i="2" s="1"/>
  <c r="F590" i="2"/>
  <c r="G590" i="2" s="1"/>
  <c r="F588" i="2"/>
  <c r="G588" i="2" s="1"/>
  <c r="F586" i="2"/>
  <c r="G586" i="2" s="1"/>
  <c r="F584" i="2"/>
  <c r="G584" i="2" s="1"/>
  <c r="F582" i="2"/>
  <c r="G582" i="2" s="1"/>
  <c r="F580" i="2"/>
  <c r="G580" i="2" s="1"/>
  <c r="F577" i="2"/>
  <c r="G577" i="2" s="1"/>
  <c r="F575" i="2"/>
  <c r="G575" i="2" s="1"/>
  <c r="F568" i="2"/>
  <c r="G568" i="2" s="1"/>
  <c r="F566" i="2"/>
  <c r="G566" i="2" s="1"/>
  <c r="F564" i="2"/>
  <c r="G564" i="2" s="1"/>
  <c r="F546" i="2"/>
  <c r="G546" i="2" s="1"/>
  <c r="F544" i="2"/>
  <c r="G544" i="2" s="1"/>
  <c r="F542" i="2"/>
  <c r="G542" i="2" s="1"/>
  <c r="F531" i="2"/>
  <c r="G531" i="2" s="1"/>
  <c r="F529" i="2"/>
  <c r="G529" i="2" s="1"/>
  <c r="F493" i="2"/>
  <c r="G493" i="2" s="1"/>
  <c r="F492" i="2"/>
  <c r="G492" i="2" s="1"/>
  <c r="F491" i="2"/>
  <c r="G491" i="2" s="1"/>
  <c r="F490" i="2"/>
  <c r="G490" i="2" s="1"/>
  <c r="F479" i="2"/>
  <c r="G479" i="2" s="1"/>
  <c r="G478" i="2" s="1"/>
  <c r="F472" i="2"/>
  <c r="G472" i="2" s="1"/>
  <c r="F471" i="2"/>
  <c r="G471" i="2" s="1"/>
  <c r="F470" i="2"/>
  <c r="G470" i="2" s="1"/>
  <c r="F469" i="2"/>
  <c r="G469" i="2" s="1"/>
  <c r="F468" i="2"/>
  <c r="G468" i="2" s="1"/>
  <c r="F467" i="2"/>
  <c r="G467" i="2" s="1"/>
  <c r="F466" i="2"/>
  <c r="G466" i="2" s="1"/>
  <c r="F465" i="2"/>
  <c r="G465" i="2" s="1"/>
  <c r="F464" i="2"/>
  <c r="G464" i="2" s="1"/>
  <c r="F463" i="2"/>
  <c r="G463" i="2" s="1"/>
  <c r="F462" i="2"/>
  <c r="G462" i="2" s="1"/>
  <c r="F461" i="2"/>
  <c r="G461" i="2" s="1"/>
  <c r="F460" i="2"/>
  <c r="G460" i="2" s="1"/>
  <c r="F459" i="2"/>
  <c r="G459" i="2" s="1"/>
  <c r="F443" i="2"/>
  <c r="G443" i="2" s="1"/>
  <c r="F442" i="2"/>
  <c r="G442" i="2" s="1"/>
  <c r="F436" i="2"/>
  <c r="G436" i="2" s="1"/>
  <c r="F435" i="2"/>
  <c r="G435" i="2" s="1"/>
  <c r="F434" i="2"/>
  <c r="G434" i="2" s="1"/>
  <c r="F433" i="2"/>
  <c r="G433" i="2" s="1"/>
  <c r="F432" i="2"/>
  <c r="G432" i="2" s="1"/>
  <c r="F427" i="2"/>
  <c r="G427" i="2" s="1"/>
  <c r="F426" i="2"/>
  <c r="G426" i="2" s="1"/>
  <c r="F425" i="2"/>
  <c r="G425" i="2" s="1"/>
  <c r="F424" i="2"/>
  <c r="G424" i="2" s="1"/>
  <c r="F423" i="2"/>
  <c r="G423" i="2" s="1"/>
  <c r="F422" i="2"/>
  <c r="G422" i="2" s="1"/>
  <c r="F421" i="2"/>
  <c r="G421" i="2" s="1"/>
  <c r="F400" i="2"/>
  <c r="G400" i="2" s="1"/>
  <c r="F399" i="2"/>
  <c r="G399" i="2" s="1"/>
  <c r="F398" i="2"/>
  <c r="G398" i="2" s="1"/>
  <c r="F397" i="2"/>
  <c r="G397" i="2" s="1"/>
  <c r="F396" i="2"/>
  <c r="G396" i="2" s="1"/>
  <c r="F395" i="2"/>
  <c r="G395" i="2" s="1"/>
  <c r="F387" i="2"/>
  <c r="G387" i="2" s="1"/>
  <c r="F386" i="2"/>
  <c r="G386" i="2" s="1"/>
  <c r="F385" i="2"/>
  <c r="G385" i="2" s="1"/>
  <c r="F384" i="2"/>
  <c r="G384" i="2" s="1"/>
  <c r="F383" i="2"/>
  <c r="G383" i="2" s="1"/>
  <c r="F382" i="2"/>
  <c r="G382" i="2" s="1"/>
  <c r="F381" i="2"/>
  <c r="G381" i="2" s="1"/>
  <c r="F380" i="2"/>
  <c r="G380" i="2" s="1"/>
  <c r="F379" i="2"/>
  <c r="G379" i="2" s="1"/>
  <c r="F374" i="2"/>
  <c r="G374" i="2" s="1"/>
  <c r="F373" i="2"/>
  <c r="G373" i="2" s="1"/>
  <c r="F372" i="2"/>
  <c r="G372" i="2" s="1"/>
  <c r="F371" i="2"/>
  <c r="G371" i="2" s="1"/>
  <c r="F370" i="2"/>
  <c r="G370" i="2" s="1"/>
  <c r="F369" i="2"/>
  <c r="G369" i="2" s="1"/>
  <c r="F368" i="2"/>
  <c r="G368" i="2" s="1"/>
  <c r="F367" i="2"/>
  <c r="G367" i="2" s="1"/>
  <c r="F366" i="2"/>
  <c r="G366" i="2" s="1"/>
  <c r="F361" i="2"/>
  <c r="G361" i="2" s="1"/>
  <c r="F360" i="2"/>
  <c r="G360" i="2" s="1"/>
  <c r="F353" i="2"/>
  <c r="G353" i="2" s="1"/>
  <c r="F352" i="2"/>
  <c r="G352" i="2" s="1"/>
  <c r="F351" i="2"/>
  <c r="G351" i="2" s="1"/>
  <c r="F350" i="2"/>
  <c r="G350" i="2" s="1"/>
  <c r="F349" i="2"/>
  <c r="G349" i="2" s="1"/>
  <c r="F348" i="2"/>
  <c r="G348" i="2" s="1"/>
  <c r="F347" i="2"/>
  <c r="G347" i="2" s="1"/>
  <c r="F342" i="2"/>
  <c r="G342" i="2" s="1"/>
  <c r="F341" i="2"/>
  <c r="G341" i="2" s="1"/>
  <c r="F340" i="2"/>
  <c r="G340" i="2" s="1"/>
  <c r="F339" i="2"/>
  <c r="G339" i="2" s="1"/>
  <c r="F336" i="2"/>
  <c r="G336" i="2" s="1"/>
  <c r="F335" i="2"/>
  <c r="G335" i="2" s="1"/>
  <c r="F334" i="2"/>
  <c r="G334" i="2" s="1"/>
  <c r="F333" i="2"/>
  <c r="G333" i="2" s="1"/>
  <c r="F332" i="2"/>
  <c r="G332" i="2" s="1"/>
  <c r="F331" i="2"/>
  <c r="G331" i="2" s="1"/>
  <c r="F330" i="2"/>
  <c r="G330" i="2" s="1"/>
  <c r="F329" i="2"/>
  <c r="G329" i="2" s="1"/>
  <c r="F328" i="2"/>
  <c r="G328" i="2" s="1"/>
  <c r="F327" i="2"/>
  <c r="G327" i="2" s="1"/>
  <c r="F326" i="2"/>
  <c r="G326" i="2" s="1"/>
  <c r="F325" i="2"/>
  <c r="G325" i="2" s="1"/>
  <c r="F324" i="2"/>
  <c r="G324" i="2" s="1"/>
  <c r="F323" i="2"/>
  <c r="G323" i="2" s="1"/>
  <c r="F322" i="2"/>
  <c r="G322" i="2" s="1"/>
  <c r="F321" i="2"/>
  <c r="G321" i="2" s="1"/>
  <c r="F320" i="2"/>
  <c r="G320" i="2" s="1"/>
  <c r="F319" i="2"/>
  <c r="G319" i="2" s="1"/>
  <c r="F318" i="2"/>
  <c r="G318" i="2" s="1"/>
  <c r="F317" i="2"/>
  <c r="G317" i="2" s="1"/>
  <c r="F316" i="2"/>
  <c r="G316" i="2" s="1"/>
  <c r="F315" i="2"/>
  <c r="G315" i="2" s="1"/>
  <c r="F314" i="2"/>
  <c r="G314" i="2" s="1"/>
  <c r="F313" i="2"/>
  <c r="G313" i="2" s="1"/>
  <c r="F312" i="2"/>
  <c r="G312" i="2" s="1"/>
  <c r="F311" i="2"/>
  <c r="G311" i="2" s="1"/>
  <c r="F310" i="2"/>
  <c r="G310" i="2" s="1"/>
  <c r="F309" i="2"/>
  <c r="G309" i="2" s="1"/>
  <c r="F308" i="2"/>
  <c r="G308" i="2" s="1"/>
  <c r="F307" i="2"/>
  <c r="G307" i="2" s="1"/>
  <c r="F306" i="2"/>
  <c r="G306" i="2" s="1"/>
  <c r="F305" i="2"/>
  <c r="G305" i="2" s="1"/>
  <c r="F304" i="2"/>
  <c r="G304" i="2" s="1"/>
  <c r="F303" i="2"/>
  <c r="G303" i="2" s="1"/>
  <c r="F302" i="2"/>
  <c r="G302" i="2" s="1"/>
  <c r="F301" i="2"/>
  <c r="G301" i="2" s="1"/>
  <c r="F300" i="2"/>
  <c r="G300" i="2" s="1"/>
  <c r="F299" i="2"/>
  <c r="G299" i="2" s="1"/>
  <c r="F298" i="2"/>
  <c r="G298" i="2" s="1"/>
  <c r="F297" i="2"/>
  <c r="G297" i="2" s="1"/>
  <c r="F296" i="2"/>
  <c r="G296" i="2" s="1"/>
  <c r="F295" i="2"/>
  <c r="G295" i="2" s="1"/>
  <c r="F294" i="2"/>
  <c r="G294" i="2" s="1"/>
  <c r="F293" i="2"/>
  <c r="G293" i="2" s="1"/>
  <c r="F292" i="2"/>
  <c r="G292" i="2" s="1"/>
  <c r="F291" i="2"/>
  <c r="G291" i="2" s="1"/>
  <c r="F290" i="2"/>
  <c r="G290" i="2" s="1"/>
  <c r="F289" i="2"/>
  <c r="G289" i="2" s="1"/>
  <c r="F288" i="2"/>
  <c r="G288" i="2" s="1"/>
  <c r="F287" i="2"/>
  <c r="G287" i="2" s="1"/>
  <c r="F283" i="2"/>
  <c r="G283" i="2" s="1"/>
  <c r="F282" i="2"/>
  <c r="G282" i="2" s="1"/>
  <c r="F281" i="2"/>
  <c r="G281" i="2" s="1"/>
  <c r="F280" i="2"/>
  <c r="G280" i="2" s="1"/>
  <c r="F279" i="2"/>
  <c r="G279" i="2" s="1"/>
  <c r="F278" i="2"/>
  <c r="G278" i="2" s="1"/>
  <c r="F277" i="2"/>
  <c r="G277" i="2" s="1"/>
  <c r="F276" i="2"/>
  <c r="G276" i="2" s="1"/>
  <c r="F255" i="2"/>
  <c r="G255" i="2" s="1"/>
  <c r="F254" i="2"/>
  <c r="G254" i="2" s="1"/>
  <c r="F253" i="2"/>
  <c r="G253" i="2" s="1"/>
  <c r="F245" i="2"/>
  <c r="G245" i="2" s="1"/>
  <c r="F244" i="2"/>
  <c r="G244" i="2" s="1"/>
  <c r="F243" i="2"/>
  <c r="G243" i="2" s="1"/>
  <c r="F232" i="2"/>
  <c r="G232" i="2" s="1"/>
  <c r="F231" i="2"/>
  <c r="G231" i="2" s="1"/>
  <c r="F230" i="2"/>
  <c r="G230" i="2" s="1"/>
  <c r="F229" i="2"/>
  <c r="G229" i="2" s="1"/>
  <c r="F222" i="2"/>
  <c r="G222" i="2" s="1"/>
  <c r="F221" i="2"/>
  <c r="G221" i="2" s="1"/>
  <c r="F220" i="2"/>
  <c r="G220" i="2" s="1"/>
  <c r="F217" i="2"/>
  <c r="G217" i="2" s="1"/>
  <c r="F216" i="2"/>
  <c r="G216" i="2" s="1"/>
  <c r="F215" i="2"/>
  <c r="G215" i="2" s="1"/>
  <c r="F214" i="2"/>
  <c r="G214" i="2" s="1"/>
  <c r="F213" i="2"/>
  <c r="G213" i="2" s="1"/>
  <c r="F212" i="2"/>
  <c r="G212" i="2" s="1"/>
  <c r="F211" i="2"/>
  <c r="G211" i="2" s="1"/>
  <c r="F210" i="2"/>
  <c r="G210" i="2" s="1"/>
  <c r="F209" i="2"/>
  <c r="G209" i="2" s="1"/>
  <c r="F208" i="2"/>
  <c r="G208" i="2" s="1"/>
  <c r="F207" i="2"/>
  <c r="G207" i="2" s="1"/>
  <c r="F192" i="2"/>
  <c r="G192" i="2" s="1"/>
  <c r="F191" i="2"/>
  <c r="G191" i="2" s="1"/>
  <c r="F190" i="2"/>
  <c r="G190" i="2" s="1"/>
  <c r="F189" i="2"/>
  <c r="G189" i="2" s="1"/>
  <c r="F188" i="2"/>
  <c r="G188" i="2" s="1"/>
  <c r="F187" i="2"/>
  <c r="G187" i="2" s="1"/>
  <c r="F186" i="2"/>
  <c r="G186" i="2" s="1"/>
  <c r="F180" i="2"/>
  <c r="G180" i="2" s="1"/>
  <c r="F179" i="2"/>
  <c r="G179" i="2" s="1"/>
  <c r="F178" i="2"/>
  <c r="G178" i="2" s="1"/>
  <c r="F177" i="2"/>
  <c r="G177" i="2" s="1"/>
  <c r="F176" i="2"/>
  <c r="G176" i="2" s="1"/>
  <c r="F175" i="2"/>
  <c r="G175" i="2" s="1"/>
  <c r="F174" i="2"/>
  <c r="G174" i="2" s="1"/>
  <c r="F173" i="2"/>
  <c r="G173" i="2" s="1"/>
  <c r="F172" i="2"/>
  <c r="G172" i="2" s="1"/>
  <c r="F171" i="2"/>
  <c r="G171" i="2" s="1"/>
  <c r="F170" i="2"/>
  <c r="G170" i="2" s="1"/>
  <c r="F169" i="2"/>
  <c r="G169" i="2" s="1"/>
  <c r="F168" i="2"/>
  <c r="G168" i="2" s="1"/>
  <c r="F167" i="2"/>
  <c r="G167" i="2" s="1"/>
  <c r="F138" i="2"/>
  <c r="G138" i="2" s="1"/>
  <c r="F137" i="2"/>
  <c r="G137" i="2" s="1"/>
  <c r="F136" i="2"/>
  <c r="G136" i="2" s="1"/>
  <c r="F135" i="2"/>
  <c r="G135" i="2" s="1"/>
  <c r="F108" i="2"/>
  <c r="G108" i="2" s="1"/>
  <c r="F107" i="2"/>
  <c r="G107" i="2" s="1"/>
  <c r="F106" i="2"/>
  <c r="G106" i="2" s="1"/>
  <c r="F105" i="2"/>
  <c r="G105" i="2" s="1"/>
  <c r="F104" i="2"/>
  <c r="G104" i="2" s="1"/>
  <c r="F103" i="2"/>
  <c r="G103" i="2" s="1"/>
  <c r="F102" i="2"/>
  <c r="G102" i="2" s="1"/>
  <c r="F96" i="2"/>
  <c r="G96" i="2" s="1"/>
  <c r="F95" i="2"/>
  <c r="G95" i="2" s="1"/>
  <c r="F91" i="2"/>
  <c r="G91" i="2" s="1"/>
  <c r="F90" i="2"/>
  <c r="G90" i="2" s="1"/>
  <c r="F89" i="2"/>
  <c r="G89" i="2" s="1"/>
  <c r="F88" i="2"/>
  <c r="G88" i="2" s="1"/>
  <c r="F78" i="2"/>
  <c r="G78" i="2" s="1"/>
  <c r="F77" i="2"/>
  <c r="G77" i="2" s="1"/>
  <c r="F76" i="2"/>
  <c r="G76" i="2" s="1"/>
  <c r="F73" i="2"/>
  <c r="G73" i="2" s="1"/>
  <c r="G72" i="2" s="1"/>
  <c r="F69" i="2"/>
  <c r="G69" i="2" s="1"/>
  <c r="F68" i="2"/>
  <c r="G68" i="2" s="1"/>
  <c r="F67" i="2"/>
  <c r="G67" i="2" s="1"/>
  <c r="F66" i="2"/>
  <c r="G66" i="2" s="1"/>
  <c r="F65" i="2"/>
  <c r="G65" i="2" s="1"/>
  <c r="F64" i="2"/>
  <c r="G64" i="2" s="1"/>
  <c r="F60" i="2"/>
  <c r="G60" i="2" s="1"/>
  <c r="F59" i="2"/>
  <c r="G59" i="2" s="1"/>
  <c r="F58" i="2"/>
  <c r="G58" i="2" s="1"/>
  <c r="F57" i="2"/>
  <c r="G57" i="2" s="1"/>
  <c r="F56" i="2"/>
  <c r="G56" i="2" s="1"/>
  <c r="F55" i="2"/>
  <c r="G55" i="2" s="1"/>
  <c r="F54" i="2"/>
  <c r="G54" i="2" s="1"/>
  <c r="F53" i="2"/>
  <c r="G53" i="2" s="1"/>
  <c r="F50" i="2"/>
  <c r="G50" i="2" s="1"/>
  <c r="F49" i="2"/>
  <c r="G49" i="2" s="1"/>
  <c r="F48" i="2"/>
  <c r="G48" i="2" s="1"/>
  <c r="F47" i="2"/>
  <c r="G47" i="2" s="1"/>
  <c r="F46" i="2"/>
  <c r="G46" i="2" s="1"/>
  <c r="F42" i="2"/>
  <c r="G42" i="2" s="1"/>
  <c r="G41" i="2" s="1"/>
  <c r="F37" i="2"/>
  <c r="G37" i="2" s="1"/>
  <c r="F36" i="2"/>
  <c r="G36" i="2" s="1"/>
  <c r="F35" i="2"/>
  <c r="G35" i="2" s="1"/>
  <c r="F34" i="2"/>
  <c r="G34" i="2" s="1"/>
  <c r="F33" i="2"/>
  <c r="G33" i="2" s="1"/>
  <c r="F32" i="2"/>
  <c r="G32" i="2" s="1"/>
  <c r="F25" i="2"/>
  <c r="G25" i="2" s="1"/>
  <c r="F24" i="2"/>
  <c r="G24" i="2" s="1"/>
  <c r="F23" i="2"/>
  <c r="G23" i="2" s="1"/>
  <c r="F22" i="2"/>
  <c r="G22" i="2" s="1"/>
  <c r="F21" i="2"/>
  <c r="G21" i="2" s="1"/>
  <c r="F20" i="2"/>
  <c r="G20" i="2" s="1"/>
  <c r="F19" i="2"/>
  <c r="G19" i="2" s="1"/>
  <c r="F18" i="2"/>
  <c r="G18" i="2" s="1"/>
  <c r="F17" i="2"/>
  <c r="G17" i="2" s="1"/>
  <c r="F16" i="2"/>
  <c r="G16" i="2" s="1"/>
  <c r="F15" i="2"/>
  <c r="G15" i="2" s="1"/>
  <c r="F14" i="2"/>
  <c r="G14" i="2" s="1"/>
  <c r="F13" i="2"/>
  <c r="G13" i="2" s="1"/>
  <c r="F28" i="2"/>
  <c r="G28" i="2" s="1"/>
  <c r="F30" i="2"/>
  <c r="G30" i="2" s="1"/>
  <c r="F39" i="2"/>
  <c r="G39" i="2" s="1"/>
  <c r="F44" i="2"/>
  <c r="G44" i="2" s="1"/>
  <c r="G43" i="2" s="1"/>
  <c r="C13" i="3" s="1"/>
  <c r="F62" i="2"/>
  <c r="G62" i="2" s="1"/>
  <c r="G61" i="2" s="1"/>
  <c r="F71" i="2"/>
  <c r="G71" i="2" s="1"/>
  <c r="G70" i="2" s="1"/>
  <c r="F81" i="2"/>
  <c r="G81" i="2" s="1"/>
  <c r="F83" i="2"/>
  <c r="G83" i="2" s="1"/>
  <c r="F85" i="2"/>
  <c r="G85" i="2" s="1"/>
  <c r="F99" i="2"/>
  <c r="G99" i="2" s="1"/>
  <c r="F110" i="2"/>
  <c r="G110" i="2" s="1"/>
  <c r="F112" i="2"/>
  <c r="G112" i="2" s="1"/>
  <c r="F114" i="2"/>
  <c r="G114" i="2" s="1"/>
  <c r="F117" i="2"/>
  <c r="G117" i="2" s="1"/>
  <c r="F119" i="2"/>
  <c r="G119" i="2" s="1"/>
  <c r="F121" i="2"/>
  <c r="G121" i="2" s="1"/>
  <c r="F123" i="2"/>
  <c r="G123" i="2" s="1"/>
  <c r="F125" i="2"/>
  <c r="G125" i="2" s="1"/>
  <c r="F127" i="2"/>
  <c r="G127" i="2" s="1"/>
  <c r="F129" i="2"/>
  <c r="G129" i="2" s="1"/>
  <c r="F131" i="2"/>
  <c r="G131" i="2" s="1"/>
  <c r="F133" i="2"/>
  <c r="G133" i="2" s="1"/>
  <c r="F140" i="2"/>
  <c r="G140" i="2" s="1"/>
  <c r="F142" i="2"/>
  <c r="G142" i="2" s="1"/>
  <c r="F144" i="2"/>
  <c r="G144" i="2" s="1"/>
  <c r="F146" i="2"/>
  <c r="G146" i="2" s="1"/>
  <c r="F148" i="2"/>
  <c r="G148" i="2" s="1"/>
  <c r="F151" i="2"/>
  <c r="G151" i="2" s="1"/>
  <c r="F153" i="2"/>
  <c r="G153" i="2" s="1"/>
  <c r="F155" i="2"/>
  <c r="G155" i="2" s="1"/>
  <c r="F157" i="2"/>
  <c r="G157" i="2" s="1"/>
  <c r="F159" i="2"/>
  <c r="G159" i="2" s="1"/>
  <c r="F161" i="2"/>
  <c r="G161" i="2" s="1"/>
  <c r="F163" i="2"/>
  <c r="G163" i="2" s="1"/>
  <c r="F165" i="2"/>
  <c r="G165" i="2" s="1"/>
  <c r="F182" i="2"/>
  <c r="G182" i="2" s="1"/>
  <c r="F184" i="2"/>
  <c r="G184" i="2" s="1"/>
  <c r="F195" i="2"/>
  <c r="G195" i="2" s="1"/>
  <c r="F197" i="2"/>
  <c r="G197" i="2" s="1"/>
  <c r="F199" i="2"/>
  <c r="G199" i="2" s="1"/>
  <c r="F204" i="2"/>
  <c r="G204" i="2" s="1"/>
  <c r="F224" i="2"/>
  <c r="G224" i="2" s="1"/>
  <c r="F226" i="2"/>
  <c r="G226" i="2" s="1"/>
  <c r="F235" i="2"/>
  <c r="G235" i="2" s="1"/>
  <c r="F240" i="2"/>
  <c r="G240" i="2" s="1"/>
  <c r="F247" i="2"/>
  <c r="G247" i="2" s="1"/>
  <c r="F249" i="2"/>
  <c r="G249" i="2" s="1"/>
  <c r="F251" i="2"/>
  <c r="G251" i="2" s="1"/>
  <c r="F258" i="2"/>
  <c r="G258" i="2" s="1"/>
  <c r="F260" i="2"/>
  <c r="G260" i="2" s="1"/>
  <c r="F262" i="2"/>
  <c r="G262" i="2" s="1"/>
  <c r="F265" i="2"/>
  <c r="G265" i="2" s="1"/>
  <c r="F267" i="2"/>
  <c r="G267" i="2" s="1"/>
  <c r="F269" i="2"/>
  <c r="G269" i="2" s="1"/>
  <c r="F271" i="2"/>
  <c r="G271" i="2" s="1"/>
  <c r="F273" i="2"/>
  <c r="G273" i="2" s="1"/>
  <c r="F344" i="2"/>
  <c r="G344" i="2" s="1"/>
  <c r="F355" i="2"/>
  <c r="G355" i="2" s="1"/>
  <c r="F357" i="2"/>
  <c r="G357" i="2" s="1"/>
  <c r="F364" i="2"/>
  <c r="G364" i="2" s="1"/>
  <c r="F377" i="2"/>
  <c r="G377" i="2" s="1"/>
  <c r="F390" i="2"/>
  <c r="G390" i="2" s="1"/>
  <c r="F392" i="2"/>
  <c r="G392" i="2" s="1"/>
  <c r="F403" i="2"/>
  <c r="G403" i="2" s="1"/>
  <c r="F405" i="2"/>
  <c r="G405" i="2" s="1"/>
  <c r="F407" i="2"/>
  <c r="G407" i="2" s="1"/>
  <c r="F409" i="2"/>
  <c r="G409" i="2" s="1"/>
  <c r="F411" i="2"/>
  <c r="G411" i="2" s="1"/>
  <c r="F413" i="2"/>
  <c r="G413" i="2" s="1"/>
  <c r="F418" i="2"/>
  <c r="G418" i="2" s="1"/>
  <c r="F429" i="2"/>
  <c r="G429" i="2" s="1"/>
  <c r="F438" i="2"/>
  <c r="G438" i="2" s="1"/>
  <c r="F440" i="2"/>
  <c r="G440" i="2" s="1"/>
  <c r="F445" i="2"/>
  <c r="G445" i="2" s="1"/>
  <c r="F447" i="2"/>
  <c r="G447" i="2" s="1"/>
  <c r="F449" i="2"/>
  <c r="G449" i="2" s="1"/>
  <c r="F451" i="2"/>
  <c r="G451" i="2" s="1"/>
  <c r="F453" i="2"/>
  <c r="G453" i="2" s="1"/>
  <c r="F455" i="2"/>
  <c r="G455" i="2" s="1"/>
  <c r="F457" i="2"/>
  <c r="G457" i="2" s="1"/>
  <c r="F474" i="2"/>
  <c r="G474" i="2" s="1"/>
  <c r="F476" i="2"/>
  <c r="G476" i="2" s="1"/>
  <c r="F481" i="2"/>
  <c r="G481" i="2" s="1"/>
  <c r="F483" i="2"/>
  <c r="G483" i="2" s="1"/>
  <c r="F485" i="2"/>
  <c r="G485" i="2" s="1"/>
  <c r="F487" i="2"/>
  <c r="G487" i="2" s="1"/>
  <c r="F496" i="2"/>
  <c r="G496" i="2" s="1"/>
  <c r="F498" i="2"/>
  <c r="G498" i="2" s="1"/>
  <c r="F500" i="2"/>
  <c r="G500" i="2" s="1"/>
  <c r="F502" i="2"/>
  <c r="G502" i="2" s="1"/>
  <c r="F504" i="2"/>
  <c r="G504" i="2" s="1"/>
  <c r="F506" i="2"/>
  <c r="G506" i="2" s="1"/>
  <c r="F508" i="2"/>
  <c r="G508" i="2" s="1"/>
  <c r="F510" i="2"/>
  <c r="G510" i="2" s="1"/>
  <c r="F512" i="2"/>
  <c r="G512" i="2" s="1"/>
  <c r="F541" i="2"/>
  <c r="G541" i="2" s="1"/>
  <c r="F545" i="2"/>
  <c r="G545" i="2" s="1"/>
  <c r="F567" i="2"/>
  <c r="G567" i="2" s="1"/>
  <c r="F576" i="2"/>
  <c r="G576" i="2" s="1"/>
  <c r="F581" i="2"/>
  <c r="G581" i="2" s="1"/>
  <c r="F585" i="2"/>
  <c r="G585" i="2" s="1"/>
  <c r="F589" i="2"/>
  <c r="G589" i="2" s="1"/>
  <c r="F593" i="2"/>
  <c r="G593" i="2" s="1"/>
  <c r="F639" i="2"/>
  <c r="G639" i="2" s="1"/>
  <c r="F643" i="2"/>
  <c r="G643" i="2" s="1"/>
  <c r="F647" i="2"/>
  <c r="G647" i="2" s="1"/>
  <c r="F651" i="2"/>
  <c r="G651" i="2" s="1"/>
  <c r="F669" i="2"/>
  <c r="G669" i="2" s="1"/>
  <c r="F673" i="2"/>
  <c r="G673" i="2" s="1"/>
  <c r="F677" i="2"/>
  <c r="G677" i="2" s="1"/>
  <c r="F681" i="2"/>
  <c r="G681" i="2" s="1"/>
  <c r="F685" i="2"/>
  <c r="G685" i="2" s="1"/>
  <c r="F689" i="2"/>
  <c r="G689" i="2" s="1"/>
  <c r="F698" i="2"/>
  <c r="G698" i="2" s="1"/>
  <c r="F702" i="2"/>
  <c r="G702" i="2" s="1"/>
  <c r="F706" i="2"/>
  <c r="G706" i="2" s="1"/>
  <c r="F711" i="2"/>
  <c r="G711" i="2" s="1"/>
  <c r="F733" i="2"/>
  <c r="G733" i="2" s="1"/>
  <c r="F751" i="2"/>
  <c r="G751" i="2" s="1"/>
  <c r="F755" i="2"/>
  <c r="G755" i="2" s="1"/>
  <c r="F759" i="2"/>
  <c r="G759" i="2" s="1"/>
  <c r="F763" i="2"/>
  <c r="G763" i="2" s="1"/>
  <c r="F27" i="2"/>
  <c r="G27" i="2" s="1"/>
  <c r="F29" i="2"/>
  <c r="G29" i="2" s="1"/>
  <c r="F40" i="2"/>
  <c r="G40" i="2" s="1"/>
  <c r="F80" i="2"/>
  <c r="G80" i="2" s="1"/>
  <c r="F82" i="2"/>
  <c r="G82" i="2" s="1"/>
  <c r="F84" i="2"/>
  <c r="G84" i="2" s="1"/>
  <c r="F86" i="2"/>
  <c r="G86" i="2" s="1"/>
  <c r="F93" i="2"/>
  <c r="G93" i="2" s="1"/>
  <c r="G92" i="2" s="1"/>
  <c r="F98" i="2"/>
  <c r="G98" i="2" s="1"/>
  <c r="F100" i="2"/>
  <c r="G100" i="2" s="1"/>
  <c r="F111" i="2"/>
  <c r="G111" i="2" s="1"/>
  <c r="F113" i="2"/>
  <c r="G113" i="2" s="1"/>
  <c r="F118" i="2"/>
  <c r="G118" i="2" s="1"/>
  <c r="F120" i="2"/>
  <c r="G120" i="2" s="1"/>
  <c r="F122" i="2"/>
  <c r="G122" i="2" s="1"/>
  <c r="F124" i="2"/>
  <c r="G124" i="2" s="1"/>
  <c r="F126" i="2"/>
  <c r="G126" i="2" s="1"/>
  <c r="F128" i="2"/>
  <c r="G128" i="2" s="1"/>
  <c r="F130" i="2"/>
  <c r="G130" i="2" s="1"/>
  <c r="F132" i="2"/>
  <c r="G132" i="2" s="1"/>
  <c r="F141" i="2"/>
  <c r="G141" i="2" s="1"/>
  <c r="F143" i="2"/>
  <c r="G143" i="2" s="1"/>
  <c r="F145" i="2"/>
  <c r="G145" i="2" s="1"/>
  <c r="F147" i="2"/>
  <c r="G147" i="2" s="1"/>
  <c r="F152" i="2"/>
  <c r="G152" i="2" s="1"/>
  <c r="F154" i="2"/>
  <c r="G154" i="2" s="1"/>
  <c r="F156" i="2"/>
  <c r="G156" i="2" s="1"/>
  <c r="F158" i="2"/>
  <c r="G158" i="2" s="1"/>
  <c r="F160" i="2"/>
  <c r="G160" i="2" s="1"/>
  <c r="F162" i="2"/>
  <c r="G162" i="2" s="1"/>
  <c r="F164" i="2"/>
  <c r="G164" i="2" s="1"/>
  <c r="F183" i="2"/>
  <c r="G183" i="2" s="1"/>
  <c r="F194" i="2"/>
  <c r="G194" i="2" s="1"/>
  <c r="F196" i="2"/>
  <c r="G196" i="2" s="1"/>
  <c r="F198" i="2"/>
  <c r="G198" i="2" s="1"/>
  <c r="F200" i="2"/>
  <c r="G200" i="2" s="1"/>
  <c r="F203" i="2"/>
  <c r="G203" i="2" s="1"/>
  <c r="F205" i="2"/>
  <c r="G205" i="2" s="1"/>
  <c r="F225" i="2"/>
  <c r="G225" i="2" s="1"/>
  <c r="F227" i="2"/>
  <c r="G227" i="2" s="1"/>
  <c r="F234" i="2"/>
  <c r="G234" i="2" s="1"/>
  <c r="F236" i="2"/>
  <c r="G236" i="2" s="1"/>
  <c r="F239" i="2"/>
  <c r="G239" i="2" s="1"/>
  <c r="F241" i="2"/>
  <c r="G241" i="2" s="1"/>
  <c r="F248" i="2"/>
  <c r="G248" i="2" s="1"/>
  <c r="F250" i="2"/>
  <c r="G250" i="2" s="1"/>
  <c r="F257" i="2"/>
  <c r="G257" i="2" s="1"/>
  <c r="F259" i="2"/>
  <c r="G259" i="2" s="1"/>
  <c r="F261" i="2"/>
  <c r="G261" i="2" s="1"/>
  <c r="F266" i="2"/>
  <c r="G266" i="2" s="1"/>
  <c r="F268" i="2"/>
  <c r="G268" i="2" s="1"/>
  <c r="F270" i="2"/>
  <c r="G270" i="2" s="1"/>
  <c r="F272" i="2"/>
  <c r="G272" i="2" s="1"/>
  <c r="F274" i="2"/>
  <c r="G274" i="2" s="1"/>
  <c r="F285" i="2"/>
  <c r="G285" i="2" s="1"/>
  <c r="G284" i="2" s="1"/>
  <c r="F345" i="2"/>
  <c r="G345" i="2" s="1"/>
  <c r="F356" i="2"/>
  <c r="G356" i="2" s="1"/>
  <c r="F358" i="2"/>
  <c r="G358" i="2" s="1"/>
  <c r="F363" i="2"/>
  <c r="G363" i="2" s="1"/>
  <c r="F376" i="2"/>
  <c r="G376" i="2" s="1"/>
  <c r="F389" i="2"/>
  <c r="G389" i="2" s="1"/>
  <c r="F391" i="2"/>
  <c r="G391" i="2" s="1"/>
  <c r="F393" i="2"/>
  <c r="G393" i="2" s="1"/>
  <c r="F402" i="2"/>
  <c r="G402" i="2" s="1"/>
  <c r="F404" i="2"/>
  <c r="G404" i="2" s="1"/>
  <c r="F406" i="2"/>
  <c r="G406" i="2" s="1"/>
  <c r="F408" i="2"/>
  <c r="G408" i="2" s="1"/>
  <c r="F410" i="2"/>
  <c r="G410" i="2" s="1"/>
  <c r="F412" i="2"/>
  <c r="G412" i="2" s="1"/>
  <c r="F414" i="2"/>
  <c r="G414" i="2" s="1"/>
  <c r="F417" i="2"/>
  <c r="G417" i="2" s="1"/>
  <c r="F419" i="2"/>
  <c r="G419" i="2" s="1"/>
  <c r="F430" i="2"/>
  <c r="G430" i="2" s="1"/>
  <c r="F439" i="2"/>
  <c r="G439" i="2" s="1"/>
  <c r="F446" i="2"/>
  <c r="G446" i="2" s="1"/>
  <c r="F448" i="2"/>
  <c r="G448" i="2" s="1"/>
  <c r="F450" i="2"/>
  <c r="G450" i="2" s="1"/>
  <c r="F452" i="2"/>
  <c r="G452" i="2" s="1"/>
  <c r="F454" i="2"/>
  <c r="G454" i="2" s="1"/>
  <c r="F456" i="2"/>
  <c r="G456" i="2" s="1"/>
  <c r="F475" i="2"/>
  <c r="G475" i="2" s="1"/>
  <c r="F477" i="2"/>
  <c r="G477" i="2" s="1"/>
  <c r="F482" i="2"/>
  <c r="G482" i="2" s="1"/>
  <c r="F484" i="2"/>
  <c r="G484" i="2" s="1"/>
  <c r="F486" i="2"/>
  <c r="G486" i="2" s="1"/>
  <c r="F488" i="2"/>
  <c r="G488" i="2" s="1"/>
  <c r="F495" i="2"/>
  <c r="G495" i="2" s="1"/>
  <c r="F497" i="2"/>
  <c r="G497" i="2" s="1"/>
  <c r="F499" i="2"/>
  <c r="G499" i="2" s="1"/>
  <c r="F501" i="2"/>
  <c r="G501" i="2" s="1"/>
  <c r="F503" i="2"/>
  <c r="G503" i="2" s="1"/>
  <c r="F505" i="2"/>
  <c r="G505" i="2" s="1"/>
  <c r="F507" i="2"/>
  <c r="G507" i="2" s="1"/>
  <c r="F509" i="2"/>
  <c r="G509" i="2" s="1"/>
  <c r="F511" i="2"/>
  <c r="G511" i="2" s="1"/>
  <c r="F513" i="2"/>
  <c r="G513" i="2" s="1"/>
  <c r="F530" i="2"/>
  <c r="G530" i="2" s="1"/>
  <c r="F543" i="2"/>
  <c r="G543" i="2" s="1"/>
  <c r="F565" i="2"/>
  <c r="G565" i="2" s="1"/>
  <c r="F569" i="2"/>
  <c r="G569" i="2" s="1"/>
  <c r="F574" i="2"/>
  <c r="G574" i="2" s="1"/>
  <c r="F583" i="2"/>
  <c r="G583" i="2" s="1"/>
  <c r="F587" i="2"/>
  <c r="G587" i="2" s="1"/>
  <c r="F591" i="2"/>
  <c r="G591" i="2" s="1"/>
  <c r="F595" i="2"/>
  <c r="G595" i="2" s="1"/>
  <c r="F641" i="2"/>
  <c r="G641" i="2" s="1"/>
  <c r="F645" i="2"/>
  <c r="G645" i="2" s="1"/>
  <c r="F649" i="2"/>
  <c r="G649" i="2" s="1"/>
  <c r="F671" i="2"/>
  <c r="G671" i="2" s="1"/>
  <c r="F675" i="2"/>
  <c r="G675" i="2" s="1"/>
  <c r="F679" i="2"/>
  <c r="G679" i="2" s="1"/>
  <c r="F683" i="2"/>
  <c r="G683" i="2" s="1"/>
  <c r="F687" i="2"/>
  <c r="G687" i="2" s="1"/>
  <c r="F700" i="2"/>
  <c r="G700" i="2" s="1"/>
  <c r="F704" i="2"/>
  <c r="G704" i="2" s="1"/>
  <c r="F713" i="2"/>
  <c r="G713" i="2" s="1"/>
  <c r="F731" i="2"/>
  <c r="G731" i="2" s="1"/>
  <c r="F749" i="2"/>
  <c r="G749" i="2" s="1"/>
  <c r="F753" i="2"/>
  <c r="G753" i="2" s="1"/>
  <c r="F757" i="2"/>
  <c r="G757" i="2" s="1"/>
  <c r="F761" i="2"/>
  <c r="G761" i="2" s="1"/>
  <c r="F770" i="2"/>
  <c r="G770" i="2" s="1"/>
  <c r="G769" i="2" s="1"/>
  <c r="C61" i="3" s="1"/>
  <c r="G744" i="2" l="1"/>
  <c r="G489" i="2"/>
  <c r="G31" i="2"/>
  <c r="G690" i="2"/>
  <c r="G94" i="2"/>
  <c r="G765" i="2"/>
  <c r="C59" i="3" s="1"/>
  <c r="E60" i="3" s="1"/>
  <c r="G362" i="2"/>
  <c r="G238" i="2"/>
  <c r="G87" i="2"/>
  <c r="G242" i="2"/>
  <c r="G338" i="2"/>
  <c r="G556" i="2"/>
  <c r="G228" i="2"/>
  <c r="G416" i="2"/>
  <c r="G570" i="2"/>
  <c r="G596" i="2"/>
  <c r="G431" i="2"/>
  <c r="G735" i="2"/>
  <c r="G532" i="2"/>
  <c r="G608" i="2"/>
  <c r="G97" i="2"/>
  <c r="G233" i="2"/>
  <c r="C33" i="3" s="1"/>
  <c r="G26" i="2"/>
  <c r="G346" i="2"/>
  <c r="G521" i="2"/>
  <c r="G573" i="2"/>
  <c r="G202" i="2"/>
  <c r="G52" i="2"/>
  <c r="G63" i="2"/>
  <c r="G101" i="2"/>
  <c r="G206" i="2"/>
  <c r="G275" i="2"/>
  <c r="G286" i="2"/>
  <c r="G378" i="2"/>
  <c r="G662" i="2"/>
  <c r="G710" i="2"/>
  <c r="G343" i="2"/>
  <c r="G494" i="2"/>
  <c r="C43" i="3" s="1"/>
  <c r="G388" i="2"/>
  <c r="G256" i="2"/>
  <c r="C37" i="3" s="1"/>
  <c r="G193" i="2"/>
  <c r="C27" i="3" s="1"/>
  <c r="G480" i="2"/>
  <c r="G473" i="2"/>
  <c r="G428" i="2"/>
  <c r="G139" i="2"/>
  <c r="G109" i="2"/>
  <c r="G38" i="2"/>
  <c r="G528" i="2"/>
  <c r="G579" i="2"/>
  <c r="K62" i="3"/>
  <c r="I62" i="3"/>
  <c r="G62" i="3"/>
  <c r="E62" i="3"/>
  <c r="J62" i="3"/>
  <c r="F62" i="3"/>
  <c r="H62" i="3"/>
  <c r="D62" i="3"/>
  <c r="G401" i="2"/>
  <c r="G375" i="2"/>
  <c r="G79" i="2"/>
  <c r="G697" i="2"/>
  <c r="G638" i="2"/>
  <c r="G540" i="2"/>
  <c r="G444" i="2"/>
  <c r="G437" i="2"/>
  <c r="G354" i="2"/>
  <c r="G264" i="2"/>
  <c r="G246" i="2"/>
  <c r="G223" i="2"/>
  <c r="G181" i="2"/>
  <c r="G150" i="2"/>
  <c r="G116" i="2"/>
  <c r="J14" i="3"/>
  <c r="H14" i="3"/>
  <c r="F14" i="3"/>
  <c r="D14" i="3"/>
  <c r="I14" i="3"/>
  <c r="E14" i="3"/>
  <c r="K14" i="3"/>
  <c r="G14" i="3"/>
  <c r="G12" i="2"/>
  <c r="G45" i="2"/>
  <c r="C15" i="3" s="1"/>
  <c r="G75" i="2"/>
  <c r="G134" i="2"/>
  <c r="G166" i="2"/>
  <c r="G185" i="2"/>
  <c r="C25" i="3" s="1"/>
  <c r="G219" i="2"/>
  <c r="G252" i="2"/>
  <c r="G359" i="2"/>
  <c r="G365" i="2"/>
  <c r="G394" i="2"/>
  <c r="G420" i="2"/>
  <c r="G441" i="2"/>
  <c r="G458" i="2"/>
  <c r="G563" i="2"/>
  <c r="G667" i="2"/>
  <c r="G729" i="2"/>
  <c r="G747" i="2"/>
  <c r="C57" i="3" s="1"/>
  <c r="G547" i="2"/>
  <c r="G653" i="2"/>
  <c r="G715" i="2"/>
  <c r="G719" i="2"/>
  <c r="G578" i="2" l="1"/>
  <c r="C49" i="3" s="1"/>
  <c r="D50" i="3" s="1"/>
  <c r="K60" i="3"/>
  <c r="D60" i="3"/>
  <c r="G218" i="2"/>
  <c r="C31" i="3" s="1"/>
  <c r="J60" i="3"/>
  <c r="G11" i="2"/>
  <c r="C11" i="3" s="1"/>
  <c r="G60" i="3"/>
  <c r="I60" i="3"/>
  <c r="H60" i="3"/>
  <c r="F60" i="3"/>
  <c r="G555" i="2"/>
  <c r="C47" i="3" s="1"/>
  <c r="K48" i="3" s="1"/>
  <c r="G51" i="2"/>
  <c r="C17" i="3" s="1"/>
  <c r="F18" i="3" s="1"/>
  <c r="E34" i="3"/>
  <c r="F34" i="3"/>
  <c r="G337" i="2"/>
  <c r="G263" i="2" s="1"/>
  <c r="C39" i="3" s="1"/>
  <c r="H34" i="3"/>
  <c r="K34" i="3"/>
  <c r="G201" i="2"/>
  <c r="C29" i="3" s="1"/>
  <c r="J34" i="3"/>
  <c r="G34" i="3"/>
  <c r="G520" i="2"/>
  <c r="C45" i="3" s="1"/>
  <c r="D46" i="3" s="1"/>
  <c r="I34" i="3"/>
  <c r="D34" i="3"/>
  <c r="G718" i="2"/>
  <c r="C55" i="3" s="1"/>
  <c r="K56" i="3" s="1"/>
  <c r="G661" i="2"/>
  <c r="C53" i="3" s="1"/>
  <c r="I54" i="3" s="1"/>
  <c r="G607" i="2"/>
  <c r="C51" i="3" s="1"/>
  <c r="K52" i="3" s="1"/>
  <c r="G415" i="2"/>
  <c r="C41" i="3" s="1"/>
  <c r="G237" i="2"/>
  <c r="C35" i="3" s="1"/>
  <c r="K58" i="3"/>
  <c r="I58" i="3"/>
  <c r="G58" i="3"/>
  <c r="E58" i="3"/>
  <c r="J58" i="3"/>
  <c r="F58" i="3"/>
  <c r="H58" i="3"/>
  <c r="D58" i="3"/>
  <c r="J26" i="3"/>
  <c r="H26" i="3"/>
  <c r="F26" i="3"/>
  <c r="D26" i="3"/>
  <c r="K26" i="3"/>
  <c r="G26" i="3"/>
  <c r="E26" i="3"/>
  <c r="I26" i="3"/>
  <c r="J16" i="3"/>
  <c r="H16" i="3"/>
  <c r="F16" i="3"/>
  <c r="D16" i="3"/>
  <c r="I16" i="3"/>
  <c r="E16" i="3"/>
  <c r="G16" i="3"/>
  <c r="K16" i="3"/>
  <c r="G74" i="2"/>
  <c r="C19" i="3" s="1"/>
  <c r="G149" i="2"/>
  <c r="C23" i="3" s="1"/>
  <c r="H50" i="3"/>
  <c r="J28" i="3"/>
  <c r="H28" i="3"/>
  <c r="F28" i="3"/>
  <c r="D28" i="3"/>
  <c r="K28" i="3"/>
  <c r="G28" i="3"/>
  <c r="E28" i="3"/>
  <c r="I28" i="3"/>
  <c r="J38" i="3"/>
  <c r="H38" i="3"/>
  <c r="F38" i="3"/>
  <c r="D38" i="3"/>
  <c r="K38" i="3"/>
  <c r="G38" i="3"/>
  <c r="E38" i="3"/>
  <c r="I38" i="3"/>
  <c r="G115" i="2"/>
  <c r="C21" i="3" s="1"/>
  <c r="K44" i="3"/>
  <c r="I44" i="3"/>
  <c r="G44" i="3"/>
  <c r="E44" i="3"/>
  <c r="H44" i="3"/>
  <c r="D44" i="3"/>
  <c r="J44" i="3"/>
  <c r="F44" i="3"/>
  <c r="F50" i="3" l="1"/>
  <c r="I50" i="3"/>
  <c r="G50" i="3"/>
  <c r="H32" i="3"/>
  <c r="J50" i="3"/>
  <c r="E50" i="3"/>
  <c r="I48" i="3"/>
  <c r="K18" i="3"/>
  <c r="K50" i="3"/>
  <c r="G48" i="3"/>
  <c r="D48" i="3"/>
  <c r="G32" i="3"/>
  <c r="F32" i="3"/>
  <c r="H48" i="3"/>
  <c r="H46" i="3"/>
  <c r="F46" i="3"/>
  <c r="K32" i="3"/>
  <c r="D32" i="3"/>
  <c r="E32" i="3"/>
  <c r="J32" i="3"/>
  <c r="I32" i="3"/>
  <c r="F48" i="3"/>
  <c r="D18" i="3"/>
  <c r="J48" i="3"/>
  <c r="K46" i="3"/>
  <c r="I18" i="3"/>
  <c r="H18" i="3"/>
  <c r="E48" i="3"/>
  <c r="G18" i="3"/>
  <c r="I46" i="3"/>
  <c r="E46" i="3"/>
  <c r="J18" i="3"/>
  <c r="G46" i="3"/>
  <c r="E68" i="3"/>
  <c r="E18" i="3"/>
  <c r="J46" i="3"/>
  <c r="H30" i="3"/>
  <c r="F30" i="3"/>
  <c r="E30" i="3"/>
  <c r="I30" i="3"/>
  <c r="D30" i="3"/>
  <c r="K30" i="3"/>
  <c r="G30" i="3"/>
  <c r="J30" i="3"/>
  <c r="D56" i="3"/>
  <c r="F56" i="3"/>
  <c r="E56" i="3"/>
  <c r="I56" i="3"/>
  <c r="H56" i="3"/>
  <c r="J56" i="3"/>
  <c r="G56" i="3"/>
  <c r="H54" i="3"/>
  <c r="J54" i="3"/>
  <c r="G54" i="3"/>
  <c r="K54" i="3"/>
  <c r="D54" i="3"/>
  <c r="F54" i="3"/>
  <c r="E54" i="3"/>
  <c r="D52" i="3"/>
  <c r="F52" i="3"/>
  <c r="E52" i="3"/>
  <c r="I52" i="3"/>
  <c r="H52" i="3"/>
  <c r="J52" i="3"/>
  <c r="G52" i="3"/>
  <c r="K42" i="3"/>
  <c r="D42" i="3"/>
  <c r="H42" i="3"/>
  <c r="I42" i="3"/>
  <c r="E42" i="3"/>
  <c r="G42" i="3"/>
  <c r="F42" i="3"/>
  <c r="J42" i="3"/>
  <c r="I36" i="3"/>
  <c r="E36" i="3"/>
  <c r="K36" i="3"/>
  <c r="F36" i="3"/>
  <c r="J36" i="3"/>
  <c r="G36" i="3"/>
  <c r="D36" i="3"/>
  <c r="H36" i="3"/>
  <c r="J22" i="3"/>
  <c r="H22" i="3"/>
  <c r="F22" i="3"/>
  <c r="D22" i="3"/>
  <c r="K22" i="3"/>
  <c r="G22" i="3"/>
  <c r="E22" i="3"/>
  <c r="I22" i="3"/>
  <c r="J24" i="3"/>
  <c r="H24" i="3"/>
  <c r="F24" i="3"/>
  <c r="D24" i="3"/>
  <c r="K24" i="3"/>
  <c r="G24" i="3"/>
  <c r="E24" i="3"/>
  <c r="I24" i="3"/>
  <c r="J12" i="3"/>
  <c r="H12" i="3"/>
  <c r="F12" i="3"/>
  <c r="D12" i="3"/>
  <c r="I12" i="3"/>
  <c r="E12" i="3"/>
  <c r="G12" i="3"/>
  <c r="K12" i="3"/>
  <c r="J40" i="3"/>
  <c r="H40" i="3"/>
  <c r="F40" i="3"/>
  <c r="D40" i="3"/>
  <c r="K40" i="3"/>
  <c r="G40" i="3"/>
  <c r="E40" i="3"/>
  <c r="I40" i="3"/>
  <c r="G772" i="2"/>
  <c r="J20" i="3"/>
  <c r="H20" i="3"/>
  <c r="F20" i="3"/>
  <c r="D20" i="3"/>
  <c r="K20" i="3"/>
  <c r="G20" i="3"/>
  <c r="E20" i="3"/>
  <c r="I20" i="3"/>
  <c r="K64" i="3" l="1"/>
  <c r="G64" i="3"/>
  <c r="E64" i="3"/>
  <c r="F64" i="3"/>
  <c r="J64" i="3"/>
  <c r="I64" i="3"/>
  <c r="D64" i="3"/>
  <c r="H64" i="3"/>
  <c r="D66" i="3" l="1"/>
  <c r="E66" i="3" s="1"/>
  <c r="F66" i="3" s="1"/>
  <c r="G66" i="3" s="1"/>
  <c r="H66" i="3" s="1"/>
  <c r="I66" i="3" s="1"/>
  <c r="J66" i="3" s="1"/>
  <c r="K66" i="3" s="1"/>
  <c r="I63" i="3" l="1"/>
  <c r="K63" i="3"/>
  <c r="D63" i="3"/>
  <c r="D65" i="3" s="1"/>
  <c r="F63" i="3"/>
  <c r="G63" i="3"/>
  <c r="H63" i="3"/>
  <c r="J63" i="3"/>
  <c r="E63" i="3"/>
  <c r="E65" i="3" l="1"/>
  <c r="F65" i="3" s="1"/>
  <c r="G65" i="3" s="1"/>
  <c r="H65" i="3" s="1"/>
  <c r="I65" i="3" s="1"/>
  <c r="J65" i="3" s="1"/>
  <c r="K65" i="3" s="1"/>
</calcChain>
</file>

<file path=xl/comments1.xml><?xml version="1.0" encoding="utf-8"?>
<comments xmlns="http://schemas.openxmlformats.org/spreadsheetml/2006/main">
  <authors>
    <author/>
  </authors>
  <commentList>
    <comment ref="B1" authorId="0" shapeId="0">
      <text>
        <r>
          <rPr>
            <sz val="11"/>
            <color rgb="FF000000"/>
            <rFont val="Calibri"/>
            <family val="2"/>
            <charset val="1"/>
          </rPr>
          <t>INSERIR LOGOMARCA</t>
        </r>
      </text>
    </comment>
    <comment ref="G4" authorId="0" shapeId="0">
      <text>
        <r>
          <rPr>
            <sz val="11"/>
            <color rgb="FF000000"/>
            <rFont val="Calibri"/>
            <family val="2"/>
            <charset val="1"/>
          </rPr>
          <t>PREENCHER NÚMERO DA CONCORRÊNCIA</t>
        </r>
      </text>
    </comment>
    <comment ref="C11" authorId="0" shapeId="0">
      <text>
        <r>
          <rPr>
            <sz val="11"/>
            <color rgb="FF000000"/>
            <rFont val="Calibri"/>
            <family val="2"/>
            <charset val="1"/>
          </rPr>
          <t>PREENCHER COM RAZÃO SOCIAL</t>
        </r>
      </text>
    </comment>
    <comment ref="B12" authorId="0" shapeId="0">
      <text>
        <r>
          <rPr>
            <sz val="11"/>
            <color rgb="FF000000"/>
            <rFont val="Calibri"/>
            <family val="2"/>
            <charset val="1"/>
          </rPr>
          <t>PREENCHER COM CNPJ</t>
        </r>
      </text>
    </comment>
    <comment ref="G12" authorId="0" shapeId="0">
      <text>
        <r>
          <rPr>
            <sz val="11"/>
            <color rgb="FF000000"/>
            <rFont val="Calibri"/>
            <family val="2"/>
            <charset val="1"/>
          </rPr>
          <t>PREENCHER COM INSC. ESTADUAL</t>
        </r>
      </text>
    </comment>
    <comment ref="B13" authorId="0" shapeId="0">
      <text>
        <r>
          <rPr>
            <sz val="11"/>
            <color rgb="FF000000"/>
            <rFont val="Calibri"/>
            <family val="2"/>
            <charset val="1"/>
          </rPr>
          <t>PRENCHER 
COM 
ENDEREÇO</t>
        </r>
      </text>
    </comment>
    <comment ref="B14" authorId="0" shapeId="0">
      <text>
        <r>
          <rPr>
            <sz val="11"/>
            <color rgb="FF000000"/>
            <rFont val="Calibri"/>
            <family val="2"/>
            <charset val="1"/>
          </rPr>
          <t>PREENCHER COM CONTINUAÇÃO DO ENDEREÇO</t>
        </r>
      </text>
    </comment>
    <comment ref="E21" authorId="0" shapeId="0">
      <text>
        <r>
          <rPr>
            <sz val="11"/>
            <color rgb="FF000000"/>
            <rFont val="Calibri"/>
            <family val="2"/>
            <charset val="1"/>
          </rPr>
          <t>INFORMAR "K" PROPOSTO</t>
        </r>
      </text>
    </comment>
    <comment ref="G21" authorId="0" shapeId="0">
      <text>
        <r>
          <rPr>
            <sz val="11"/>
            <color rgb="FF000000"/>
            <rFont val="Calibri"/>
            <family val="2"/>
            <charset val="1"/>
          </rPr>
          <t>INFORMAR "K" 
PROPOSTO,
POR EXTENSO</t>
        </r>
      </text>
    </comment>
    <comment ref="E24" authorId="0" shapeId="0">
      <text>
        <r>
          <rPr>
            <sz val="11"/>
            <color rgb="FF000000"/>
            <rFont val="Calibri"/>
            <family val="2"/>
            <charset val="1"/>
          </rPr>
          <t>INFORMAR VALIDADE DA PROPOSTA, EM DIAS</t>
        </r>
      </text>
    </comment>
    <comment ref="G24" authorId="0" shapeId="0">
      <text>
        <r>
          <rPr>
            <sz val="11"/>
            <color rgb="FF000000"/>
            <rFont val="Calibri"/>
            <family val="2"/>
            <charset val="1"/>
          </rPr>
          <t>INFORMAR VALIDADE DA PROPOSTA, EM DIAS, POR EXTENSO</t>
        </r>
      </text>
    </comment>
    <comment ref="E44" authorId="0" shapeId="0">
      <text>
        <r>
          <rPr>
            <sz val="11"/>
            <color rgb="FF000000"/>
            <rFont val="Calibri"/>
            <family val="2"/>
            <charset val="1"/>
          </rPr>
          <t>PREENCHER 
"DIA" 
DA PROPOSTA</t>
        </r>
      </text>
    </comment>
    <comment ref="G44" authorId="0" shapeId="0">
      <text>
        <r>
          <rPr>
            <sz val="11"/>
            <color rgb="FF000000"/>
            <rFont val="Calibri"/>
            <family val="2"/>
            <charset val="1"/>
          </rPr>
          <t>PREENCHER "MÊS" 
DA PROPOSTA</t>
        </r>
      </text>
    </comment>
    <comment ref="H44" authorId="0" shapeId="0">
      <text>
        <r>
          <rPr>
            <sz val="11"/>
            <color rgb="FF000000"/>
            <rFont val="Calibri"/>
            <family val="2"/>
            <charset val="1"/>
          </rPr>
          <t>PREENCHER "ANO" DA PROPOSTA</t>
        </r>
      </text>
    </comment>
  </commentList>
</comments>
</file>

<file path=xl/comments2.xml><?xml version="1.0" encoding="utf-8"?>
<comments xmlns="http://schemas.openxmlformats.org/spreadsheetml/2006/main">
  <authors>
    <author/>
  </authors>
  <commentList>
    <comment ref="A1" authorId="0" shapeId="0">
      <text>
        <r>
          <rPr>
            <sz val="11"/>
            <color rgb="FF000000"/>
            <rFont val="Calibri"/>
            <family val="2"/>
            <charset val="1"/>
          </rPr>
          <t>INSERIR LOGOMARCA DA EMPRESA</t>
        </r>
      </text>
    </comment>
    <comment ref="B7" authorId="0" shapeId="0">
      <text>
        <r>
          <rPr>
            <sz val="11"/>
            <color rgb="FF000000"/>
            <rFont val="Calibri"/>
            <family val="2"/>
            <charset val="1"/>
          </rPr>
          <t>PREENCHER COM RAZÃO SOCIAL</t>
        </r>
      </text>
    </comment>
  </commentList>
</comments>
</file>

<file path=xl/comments3.xml><?xml version="1.0" encoding="utf-8"?>
<comments xmlns="http://schemas.openxmlformats.org/spreadsheetml/2006/main">
  <authors>
    <author/>
  </authors>
  <commentList>
    <comment ref="A1" authorId="0" shapeId="0">
      <text>
        <r>
          <rPr>
            <sz val="11"/>
            <color rgb="FF000000"/>
            <rFont val="Calibri"/>
            <family val="2"/>
            <charset val="1"/>
          </rPr>
          <t>INSERIR LOGOMARCA DA EMPRESA</t>
        </r>
      </text>
    </comment>
    <comment ref="B7" authorId="0" shapeId="0">
      <text>
        <r>
          <rPr>
            <sz val="11"/>
            <color rgb="FF000000"/>
            <rFont val="Calibri"/>
            <family val="2"/>
            <charset val="1"/>
          </rPr>
          <t>PREENCHER COM RAZÃO SOCIAL</t>
        </r>
      </text>
    </comment>
  </commentList>
</comments>
</file>

<file path=xl/sharedStrings.xml><?xml version="1.0" encoding="utf-8"?>
<sst xmlns="http://schemas.openxmlformats.org/spreadsheetml/2006/main" count="2277" uniqueCount="1530">
  <si>
    <t>LOGOMARCA DA EMPRESA</t>
  </si>
  <si>
    <t>XX/2017</t>
  </si>
  <si>
    <t>PROPOSTA DE PREÇOS</t>
  </si>
  <si>
    <t>Pela presente,</t>
  </si>
  <si>
    <t>(PREENCHER COM RAZÃO SOCIAL)</t>
  </si>
  <si>
    <t>inscrita sob o CNPJ nº.</t>
  </si>
  <si>
    <t>(PREENCHER CNPJ)</t>
  </si>
  <si>
    <t>e inscrição estadual nº</t>
  </si>
  <si>
    <t>(PREENCHER I.E.)</t>
  </si>
  <si>
    <t>, estabelecida no (a)</t>
  </si>
  <si>
    <t>(PREENCHER COM ENDEREÇO)</t>
  </si>
  <si>
    <t>(CONTINUAÇÃO ENDEREÇO)</t>
  </si>
  <si>
    <t>, ciente e de acordo com todas as especificações e condições do TERMO DE REFERÊNCIA e seus Anexos relativos ao</t>
  </si>
  <si>
    <t>processo em referência, vem, por intermédio do seu representante legal ao final assinado, propor os seguintes preços:</t>
  </si>
  <si>
    <t>FATOR MULTIPLICADOR “K”:</t>
  </si>
  <si>
    <t>("K" POR EXTENSO)</t>
  </si>
  <si>
    <t>VALIDADE DA PROPOSTA:</t>
  </si>
  <si>
    <t>(VALIDADE POR EXTENSO)</t>
  </si>
  <si>
    <t>dias.</t>
  </si>
  <si>
    <t>Os preços cotados nesta proposta devem contemplar todos os custos relacionados com a completa e perfeita execução do objeto da licitação, tais como: mão de obra (salários, alimentação, exames, transporte, EPI´s, exigências sindicais), materiais, ferramentas, equipamentos, serviços, fretes, despesas de transporte, carga, descarga, bota-fora, armazenagem, segurança do trabalho, vigilância, logística, gerenciamento, acesso, canteiro de obras, despesas junto a concessionárias públicas (água, esgoto, energia, etc.) garantias, encargos financeiros, riscos, encargos sociais, tributos, taxas, todas as despesas diretas, BDI e quaisquer outras necessárias à total execução do contrato desta licitação, constituindo-se, portanto, na única remuneração devida, para composição do valor global proposto, bem como para composição do valor de cada um dos preços unitários, sem que caiba, em qualquer caso, qualquer tipo de pleito ao Contratante com a alegação de que alguma parcela do custo foi omitida. A ausência de quaisquer insumos ou serviços na Planilha Orçamentária do valor estimado pela Administração necessários à execução do objeto, não exime o licitante de considerá-lo dentro do preço global da proposta, devendo a sua proposta ser elaborada levando em consideração que a obra, objeto da licitação, deverá ser entregue completa, não lhe cabendo quaisquer acréscimos de pagamento em relação ao valor de sua proposta.</t>
  </si>
  <si>
    <t>O licitante deverá apresentar aPlanilha de cotação e o Cronograma físico-financeiro após incidência do fator “K”,</t>
  </si>
  <si>
    <t>assinados pelo representante legal sob carimbo do CNPJ, em anexo à proposta.</t>
  </si>
  <si>
    <t>Salvador,</t>
  </si>
  <si>
    <t>(DIA)</t>
  </si>
  <si>
    <t>de</t>
  </si>
  <si>
    <t>(MÊS)</t>
  </si>
  <si>
    <t>de (ANO)</t>
  </si>
  <si>
    <t>ASSINATURA DO REPRESENTANTE LEGAL</t>
  </si>
  <si>
    <t>DA EMPRESA LICITANTE</t>
  </si>
  <si>
    <t>CARIMBO DO CNPJ</t>
  </si>
  <si>
    <t>Obra:</t>
  </si>
  <si>
    <t>Construção da sede da Promotoria de Justiça Regional de Jacobina.</t>
  </si>
  <si>
    <t>Empresa:</t>
  </si>
  <si>
    <t>Fator K =</t>
  </si>
  <si>
    <t>Planilha de Cotação</t>
  </si>
  <si>
    <t>Item</t>
  </si>
  <si>
    <t>Descrição</t>
  </si>
  <si>
    <t>Und</t>
  </si>
  <si>
    <t>Quant.</t>
  </si>
  <si>
    <t>Preço Unit. (R$) para K=1,00</t>
  </si>
  <si>
    <t>Preço Unit. (R$)</t>
  </si>
  <si>
    <t>Total</t>
  </si>
  <si>
    <t>1</t>
  </si>
  <si>
    <t>SERVIÇOS PRELIMINARES</t>
  </si>
  <si>
    <t>1.1</t>
  </si>
  <si>
    <t>INSTALAÇÃO E MONTAGEM DE CANTEIRO</t>
  </si>
  <si>
    <t>1.1.1</t>
  </si>
  <si>
    <t>MOBILIZAÇÃO DE CANTEIRO DE OBRAS</t>
  </si>
  <si>
    <t>UN</t>
  </si>
  <si>
    <t>1.1.2</t>
  </si>
  <si>
    <t>DESMOBILIZAÇÃO DE CANTEIRO DE OBRAS</t>
  </si>
  <si>
    <t>1.1.3</t>
  </si>
  <si>
    <t>PLACA DE OBRA EM CHAPA DE ACO GALVANIZADO</t>
  </si>
  <si>
    <t>m²</t>
  </si>
  <si>
    <t>1.1.4</t>
  </si>
  <si>
    <t>TAPUME DE CHAPA DE MADEIRA COMPENSADA, E= 6MM, COM PINTURA A CAL E REAPROVEITAMENTO DE 2X</t>
  </si>
  <si>
    <t>1.1.5</t>
  </si>
  <si>
    <t>EXECUÇÃO DE RESERVATÓRIO ELEVADO DE ÁGUA (1000 LITROS) EM CANTEIRO DE OBRA, APOIADO EM ESTRUTURA DE MADEIRA. AF_02/2016</t>
  </si>
  <si>
    <t>1.1.6</t>
  </si>
  <si>
    <t>KIT CAVALETE PARA MEDIÇÃO DE ÁGUA - ENTRADA PRINCIPAL, EM PVC SOLDÁVEL DN 25 (¾ )   FORNECIMENTO E INSTALAÇÃO (EXCLUSIVE HIDRÔMETRO). AF_11/2016</t>
  </si>
  <si>
    <t>1.1.7</t>
  </si>
  <si>
    <t>Fossa séptica pré-moldada, tipo oms, capacidade 20 pessoas (v=1410 litros)</t>
  </si>
  <si>
    <t>un</t>
  </si>
  <si>
    <t>1.1.8</t>
  </si>
  <si>
    <t>ENTRADA PROVISORIA DE ENERGIA ELETRICA AEREA TRIFASICA 40A EM POSTE MADEIRA</t>
  </si>
  <si>
    <t>1.1.9</t>
  </si>
  <si>
    <t>EXECUÇÃO DE ESCRITÓRIO EM CANTEIRO DE OBRA EM CHAPA DE MADEIRA COMPENSADA, NÃO INCLUSO MOBILIÁRIO E EQUIPAMENTOS. AF_02/2016</t>
  </si>
  <si>
    <t>1.1.10</t>
  </si>
  <si>
    <t>EXECUÇÃO DE ALMOXARIFADO EM CANTEIRO DE OBRA EM CHAPA DE MADEIRA COMPENSADA, INCLUSO PRATELEIRAS. AF_02/2016</t>
  </si>
  <si>
    <t>1.1.11</t>
  </si>
  <si>
    <t>EXECUÇÃO DE SANITÁRIO E VESTIÁRIO EM CANTEIRO DE OBRA EM CHAPA DE MADEIRA COMPENSADA, NÃO INCLUSO MOBILIÁRIO. AF_02/2016</t>
  </si>
  <si>
    <t>1.1.12</t>
  </si>
  <si>
    <t>EXECUÇÃO DE REFEITÓRIO EM CANTEIRO DE OBRA EM CHAPA DE MADEIRA COMPENSADA, NÃO INCLUSO MOBILIÁRIO E EQUIPAMENTOS. AF_02/2016</t>
  </si>
  <si>
    <t>1.1.13</t>
  </si>
  <si>
    <t>Locação de construção de edificação entre 200 e 1000 m2,  inclusive execução de gabarito de madeira</t>
  </si>
  <si>
    <t>1.2</t>
  </si>
  <si>
    <t>TAXAS E EMOLUMENTOS</t>
  </si>
  <si>
    <t>1.2.1</t>
  </si>
  <si>
    <t>EMISSÃO DE ALVARÁ DE CONSTRUÇÃO (MUNICÍPIO DE JACOBINA/BA)</t>
  </si>
  <si>
    <t>1.2.2</t>
  </si>
  <si>
    <t>TAXA DE VISTORIA (MUNICÍPIO DE JACOBINA/BA)</t>
  </si>
  <si>
    <t>1.2.3</t>
  </si>
  <si>
    <t>EMISSÃO DE "HABITE-SE" DA OBRA (MUNICÍPIO DE JACOBINA/BA)</t>
  </si>
  <si>
    <t>1.2.4</t>
  </si>
  <si>
    <t>DOCUMENTO DE RESPONSABILIDADE TÉCNICA DA OBRA</t>
  </si>
  <si>
    <t>1.3</t>
  </si>
  <si>
    <t>ADMINISTRAÇÃO DA OBRA</t>
  </si>
  <si>
    <t>1.3.1</t>
  </si>
  <si>
    <t>ENGENHEIRO CIVIL DE OBRA JUNIOR COM ENCARGOS COMPLEMENTARES</t>
  </si>
  <si>
    <t>MES</t>
  </si>
  <si>
    <t>1.3.2</t>
  </si>
  <si>
    <t>ENCARREGADO GERAL DE OBRAS COM ENCARGOS COMPLEMENTARES</t>
  </si>
  <si>
    <t>1.3.3</t>
  </si>
  <si>
    <t>ENCARREGADO DE ELÉTRICA COM ENCARGOS COMPLEMENTARES</t>
  </si>
  <si>
    <t>MÊS</t>
  </si>
  <si>
    <t>1.3.4</t>
  </si>
  <si>
    <t>VIGIA NOTURNO COM ENCARGOS COMPLEMENTARES</t>
  </si>
  <si>
    <t>1.3.5</t>
  </si>
  <si>
    <t>AUXILIAR DE ESCRITORIO COM ENCARGOS COMPLEMENTARES</t>
  </si>
  <si>
    <t>1.3.6</t>
  </si>
  <si>
    <t>MANUTENÇÃO MENSAL DO CANTEIRO (DESPESAS GERAIS DE CONSUMO)</t>
  </si>
  <si>
    <t>mês</t>
  </si>
  <si>
    <t>1.4</t>
  </si>
  <si>
    <t>SEGURANÇA E SAÚDE DO TRABALHADOR</t>
  </si>
  <si>
    <t>1.4.1</t>
  </si>
  <si>
    <t>ELABORAÇÃO DE PROGRAMA DE CONDIÇÕES E MEIO AMBIENTE DE TRABALHO - PCMAT, CONFORME NR-18</t>
  </si>
  <si>
    <t>1.4.2</t>
  </si>
  <si>
    <t>ELABORAÇÃO DE PROGRAMA DE CONTROLE MÉDICO DE SAÚDE OCUPACIONAL - PCMSO, CONFORME NR-7</t>
  </si>
  <si>
    <t>1.5</t>
  </si>
  <si>
    <t>DOCUMENTAÇÃO "AS BUILT"</t>
  </si>
  <si>
    <t>1.5.1</t>
  </si>
  <si>
    <t>"AS BUILT" DE PROJETOS COM ÁREA ATÉ 10.000 M2</t>
  </si>
  <si>
    <t>2</t>
  </si>
  <si>
    <t>ANDAIMES</t>
  </si>
  <si>
    <t>2.1</t>
  </si>
  <si>
    <t>LOCACAO MENSAL DE ANDAIME METALICO TIPO FACHADEIRO, INCLUSIVE MONTAGEM</t>
  </si>
  <si>
    <t>3</t>
  </si>
  <si>
    <t>PREPARAÇÃO DO TERRENO</t>
  </si>
  <si>
    <t>3.1</t>
  </si>
  <si>
    <t>DESMATAMENTO E LIMPEZA MECANIZADA DE TERRENO COM REMOCAO DE CAMADA VEGETAL, UTILIZANDO TRATOR DE ESTEIRAS</t>
  </si>
  <si>
    <t>3.2</t>
  </si>
  <si>
    <t>CORTE E ATERRO COMPENSADO</t>
  </si>
  <si>
    <t>m³</t>
  </si>
  <si>
    <t>3.3</t>
  </si>
  <si>
    <t>BASE DE SOLO ARENOSO FINO, COMPACTACAO 100% PROCTOR MODIFICADO, INCLUSIVE FORNECIMENTO DE SOLO</t>
  </si>
  <si>
    <t>3.4</t>
  </si>
  <si>
    <t>CARGA E DESCARGA MECANICA DE SOLO UTILIZANDO CAMINHAO BASCULANTE 6,0M3/16T E PA CARREGADEIRA SOBRE PNEUS 128 HP, CAPACIDADE DA CAÇAMBA 1,7 A 2,8 M3, PESO OPERACIONAL 11632 KG</t>
  </si>
  <si>
    <t>3.5</t>
  </si>
  <si>
    <t>TRANSPORTE COMERCIAL COM CAMINHAO BASCULANTE 6 M3, RODOVIA PAVIMENTADA</t>
  </si>
  <si>
    <t>M3XKM</t>
  </si>
  <si>
    <t>4</t>
  </si>
  <si>
    <t>INFRAESTRUTURA: FUNDAÇÕES RASAS</t>
  </si>
  <si>
    <t>4.1</t>
  </si>
  <si>
    <t>PREPARAÇÃO PARA EXECUÇÃO DAS FUNDAÇÕES</t>
  </si>
  <si>
    <t>4.1.1</t>
  </si>
  <si>
    <t>ESCAVAÇÃO MECANIZADA DE VALA COM PROFUNDIDADE MAIOR QUE 1,5 M ATÉ 3,0 M (MÉDIA ENTRE MONTANTE E JUSANTE/UMA COMPOSIÇÃO POR TRECHO) COM RETROESCAVADEIRA (CAPACIDADE DA CAÇAMBA DA RETRO: 0,26 M3 / POTÊNCIA: 88 HP), LARGURA DE 0,8 M A 1,5 M, EM SOLO DE 1A CATEGORIA, LOCAIS COM BAIXO NÍVEL DE INTERFERÊNCIA. AF_01/2015</t>
  </si>
  <si>
    <t>4.1.2</t>
  </si>
  <si>
    <t>PREPARO DE FUNDO DE VALA COM LARGURA MENOR QUE 1,5 M, EM LOCAL COM NÍVEL BAIXO DE INTERFERÊNCIA. AF_06/2016</t>
  </si>
  <si>
    <t>4.1.3</t>
  </si>
  <si>
    <t>PREPARO DE FUNDO DE VALA COM LARGURA MAIOR OU IGUAL A 1,5 M E MENOR QUE 2,5 M, EM LOCAL COM NÍVEL BAIXO DE INTERFERÊNCIA. AF_06/2016</t>
  </si>
  <si>
    <t>4.1.4</t>
  </si>
  <si>
    <t>LASTRO DE CONCRETO MAGRO, APLICADO EM PISOS OU RADIERS, ESPESSURA DE 5 CM. AF_07_2016</t>
  </si>
  <si>
    <t>4.1.5</t>
  </si>
  <si>
    <t>REATERRO MANUAL DE VALAS COM COMPACTAÇÃO MECANIZADA. AF_04/2016</t>
  </si>
  <si>
    <t>4.1.6</t>
  </si>
  <si>
    <t>FORNECIMENTO/INSTALACAO LONA PLASTICA PRETA, PARA IMPERMEABILIZACAO, ESPESSURA 150 MICRAS.</t>
  </si>
  <si>
    <t>4.1.7</t>
  </si>
  <si>
    <t>4.1.8</t>
  </si>
  <si>
    <t>4.2</t>
  </si>
  <si>
    <t>FÔRMAS</t>
  </si>
  <si>
    <t>4.2.1</t>
  </si>
  <si>
    <t>FORMA TABUA PARA CONCRETO EM FUNDACAO C/ REAPROVEITAMENTO 5X</t>
  </si>
  <si>
    <t>4.3</t>
  </si>
  <si>
    <t>ARMADURAS</t>
  </si>
  <si>
    <t>4.3.1</t>
  </si>
  <si>
    <t>ARMAÇÃO DE BLOCO, VIGA BALDRAME E SAPATA UTILIZANDO AÇO CA-60 DE 5 MM - MONTAGEM. AF_06/2017</t>
  </si>
  <si>
    <t>KG</t>
  </si>
  <si>
    <t>4.3.2</t>
  </si>
  <si>
    <t>ARMAÇÃO DE BLOCO, VIGA BALDRAME OU SAPATA UTILIZANDO AÇO CA-50 DE 6,3 MM - MONTAGEM. AF_06/2017</t>
  </si>
  <si>
    <t>4.3.3</t>
  </si>
  <si>
    <t>ARMAÇÃO DE BLOCO, VIGA BALDRAME OU SAPATA UTILIZANDO AÇO CA-50 DE 8 MM - MONTAGEM. AF_06/2017</t>
  </si>
  <si>
    <t>4.3.4</t>
  </si>
  <si>
    <t>ARMAÇÃO DE BLOCO, VIGA BALDRAME OU SAPATA UTILIZANDO AÇO CA-50 DE 10 MM - MONTAGEM. AF_06/2017</t>
  </si>
  <si>
    <t>4.3.5</t>
  </si>
  <si>
    <t>ARMAÇÃO DE BLOCO, VIGA BALDRAME OU SAPATA UTILIZANDO AÇO CA-50 DE 12,5 MM - MONTAGEM. AF_06/2017</t>
  </si>
  <si>
    <t>4.3.6</t>
  </si>
  <si>
    <t>ARMAÇÃO DE BLOCO, VIGA BALDRAME OU SAPATA UTILIZANDO AÇO CA-50 DE 16 MM - MONTAGEM. AF_06/2017</t>
  </si>
  <si>
    <t>4.4</t>
  </si>
  <si>
    <t>CONCRETAGEM</t>
  </si>
  <si>
    <t>4.4.1</t>
  </si>
  <si>
    <t>CONCRETO USINADO FCK=30MPA, INCLUSIVE LANÇAMENTO/APLICAÇÃO MANUAL EM FUNDAÇÕES (ADAPTADA SINAPI  74157/004)</t>
  </si>
  <si>
    <t>4.5</t>
  </si>
  <si>
    <t>EMBASAMENTO</t>
  </si>
  <si>
    <t>4.5.1</t>
  </si>
  <si>
    <t>ALVENARIA EMBASAMENTO E=15 CM BLOCO CONCRETO (ADAPTADA SINAPI 83518)</t>
  </si>
  <si>
    <t>5</t>
  </si>
  <si>
    <t>SUPERESTRUTURA: CONCRETO ARMADO</t>
  </si>
  <si>
    <t>5.1</t>
  </si>
  <si>
    <t>5.1.1</t>
  </si>
  <si>
    <t>MONTAGEM E DESMONTAGEM DE FÔRMA DE PILARES RETANGULARES E ESTRUTURAS SIMILARES COM ÁREA MÉDIA DAS SEÇÕES MENOR OU IGUAL A 0,25 M², PÉ-DIREITO SIMPLES, EM CHAPA DE MADEIRA COMPENSADA RESINADA, 6 UTILIZAÇÕES. AF_12/2015</t>
  </si>
  <si>
    <t>5.1.2</t>
  </si>
  <si>
    <t>MONTAGEM E DESMONTAGEM DE FÔRMA DE VIGA, ESCORAMENTO METÁLICO, PÉ-DIREITO SIMPLES, EM CHAPA DE MADEIRA RESINADA, 6 UTILIZAÇÕES. AF_12/2015</t>
  </si>
  <si>
    <t>5.1.3</t>
  </si>
  <si>
    <t>MONTAGEM E DESMONTAGEM DE FÔRMA DE LAJE MACIÇA COM ÁREA MÉDIA MAIOR QUE 20 M², PÉ-DIREITO SIMPLES, EM CHAPA DE MADEIRA COMPENSADA RESINADA, 4 UTILIZAÇÕES. AF_12/2015</t>
  </si>
  <si>
    <t>5.2</t>
  </si>
  <si>
    <t>ARMADURAS DE PILARES E VIGAS</t>
  </si>
  <si>
    <t>5.2.1</t>
  </si>
  <si>
    <t>ARMAÇÃO DE PILAR OU VIGA DE UMA ESTRUTURA CONVENCIONAL DE CONCRETO ARMADO EM UMA EDIFICAÇÃO TÉRREA OU SOBRADO UTILIZANDO AÇO CA-60 DE 5,0 MM - MONTAGEM. AF_12/2015</t>
  </si>
  <si>
    <t>5.2.2</t>
  </si>
  <si>
    <t>ARMAÇÃO DE PILAR OU VIGA DE UMA ESTRUTURA CONVENCIONAL DE CONCRETO ARMADO EM UMA EDIFICAÇÃO TÉRREA OU SOBRADO UTILIZANDO AÇO CA-50 DE 6,3 MM - MONTAGEM. AF_12/2015</t>
  </si>
  <si>
    <t>5.2.3</t>
  </si>
  <si>
    <t>ARMAÇÃO DE PILAR OU VIGA DE UMA ESTRUTURA CONVENCIONAL DE CONCRETO ARMADO EM UMA EDIFICAÇÃO TÉRREA OU SOBRADO UTILIZANDO AÇO CA-50 DE 8,0 MM - MONTAGEM. AF_12/2015</t>
  </si>
  <si>
    <t>5.2.4</t>
  </si>
  <si>
    <t>ARMAÇÃO DE PILAR OU VIGA DE UMA ESTRUTURA CONVENCIONAL DE CONCRETO ARMADO EM UMA EDIFICAÇÃO TÉRREA OU SOBRADO UTILIZANDO AÇO CA-50 DE 10,0 MM - MONTAGEM. AF_12/2015</t>
  </si>
  <si>
    <t>5.2.5</t>
  </si>
  <si>
    <t>ARMAÇÃO DE PILAR OU VIGA DE UMA ESTRUTURA CONVENCIONAL DE CONCRETO ARMADO EM UMA EDIFICAÇÃO TÉRREA OU SOBRADO UTILIZANDO AÇO CA-50 DE 12,5 MM - MONTAGEM. AF_12/2015</t>
  </si>
  <si>
    <t>5.2.6</t>
  </si>
  <si>
    <t>ARMAÇÃO DE PILAR OU VIGA DE UMA ESTRUTURA CONVENCIONAL DE CONCRETO ARMADO EM UMA EDIFICAÇÃO TÉRREA OU SOBRADO UTILIZANDO AÇO CA-50 DE 16,0 MM - MONTAGEM. AF_12/2015</t>
  </si>
  <si>
    <t>5.2.7</t>
  </si>
  <si>
    <t>ARMAÇÃO DE PILAR OU VIGA DE UMA ESTRUTURA CONVENCIONAL DE CONCRETO ARMADO EM UMA EDIFICAÇÃO TÉRREA OU SOBRADO UTILIZANDO AÇO CA-50 DE 20,0 MM - MONTAGEM. AF_12/2015</t>
  </si>
  <si>
    <t>5.3</t>
  </si>
  <si>
    <t>ARMADURAS DE LAJES</t>
  </si>
  <si>
    <t>5.3.1</t>
  </si>
  <si>
    <t>ARMAÇÃO DE LAJE DE UMA ESTRUTURA CONVENCIONAL DE CONCRETO ARMADO EM UMA EDIFICAÇÃO TÉRREA OU SOBRADO UTILIZANDO AÇO CA-60 DE 5,0 MM - MONTAGEM. AF_12/2015</t>
  </si>
  <si>
    <t>5.3.2</t>
  </si>
  <si>
    <t>ARMAÇÃO DE LAJE DE UMA ESTRUTURA CONVENCIONAL DE CONCRETO ARMADO EM UMA EDIFICAÇÃO TÉRREA OU SOBRADO UTILIZANDO AÇO CA-50 DE 6,3 MM - MONTAGEM. AF_12/2015</t>
  </si>
  <si>
    <t>5.3.3</t>
  </si>
  <si>
    <t>ARMAÇÃO DE LAJE DE UMA ESTRUTURA CONVENCIONAL DE CONCRETO ARMADO EM UMA EDIFICAÇÃO TÉRREA OU SOBRADO UTILIZANDO AÇO CA-50 DE 8,0 MM - MONTAGEM. AF_12/2015</t>
  </si>
  <si>
    <t>5.3.4</t>
  </si>
  <si>
    <t>ARMAÇÃO DE LAJE DE UMA ESTRUTURA CONVENCIONAL DE CONCRETO ARMADO EM UMA EDIFICAÇÃO TÉRREA OU SOBRADO UTILIZANDO AÇO CA-50 DE 10,0 MM - MONTAGEM. AF_12/2015</t>
  </si>
  <si>
    <t>5.4</t>
  </si>
  <si>
    <t>TELA SOLDADA</t>
  </si>
  <si>
    <t>5.4.1</t>
  </si>
  <si>
    <t>ARMACAO EM TELA DE ACO SOLDADA NERVURADA Q-61, ACO CA-60, 3,4MM, MALHA 15X15CM (ADAPTADA SINAPI 85662)</t>
  </si>
  <si>
    <t>5.5</t>
  </si>
  <si>
    <t>5.5.1</t>
  </si>
  <si>
    <t>CONCRETAGEM DE PILARES, FCK = 30 MPA, COM USO DE BOMBA EM EDIFICAÇÃO COM SEÇÃO MÉDIA DE PILARES MENOR OU IGUAL A 0,25 M² - LANÇAMENTO, ADENSAMENTO E ACABAMENTO</t>
  </si>
  <si>
    <t>M³</t>
  </si>
  <si>
    <t>5.5.2</t>
  </si>
  <si>
    <t>CONCRETAGEM DE VIGAS E LAJES, FCK = 30 MPA, COM USO DE BOMBA EM EDIFICAÇÃO - LANÇAMENTO, ADENSAMENTO E ACABAMENTO. AF_12/2015</t>
  </si>
  <si>
    <t>5.6</t>
  </si>
  <si>
    <t>LAJES PRÉ-FABRICADAS</t>
  </si>
  <si>
    <t>5.6.1</t>
  </si>
  <si>
    <t>LAJE PRE-MOLDADA TRELIÇADA, E=12CM, ENCHIMENTO EM BLOCOS EPS, C/ESCORAMENTO, EXCETO CAPA DE CONCRETO</t>
  </si>
  <si>
    <t>5.6.2</t>
  </si>
  <si>
    <t>LAJE PRE-MOLDADA TRELIÇADA, E=21CM, ENCHIMENTO EM BLOCOS EPS, C/ESCORAMENTO, EXCETO CAPA DE CONCRETO</t>
  </si>
  <si>
    <t>5.6.3</t>
  </si>
  <si>
    <t>LAJE PRE-MOLDADA TRELIÇADA, E=30CM, ENCHIMENTO EM BLOCOS EPS, C/ESCORAMENTO, EXCETO CAPA DE CONCRETO</t>
  </si>
  <si>
    <t>5.7</t>
  </si>
  <si>
    <t>FUNDAÇÃO E ESTRUTURA DO MURO</t>
  </si>
  <si>
    <t>5.7.1</t>
  </si>
  <si>
    <t>ESTACA A TRADO (BROCA) DIAMETRO = 20 CM, EM CONCRETO MOLDADO IN LOCO, 15 MPA, SEM ARMACAO.</t>
  </si>
  <si>
    <t>M</t>
  </si>
  <si>
    <t>5.7.2</t>
  </si>
  <si>
    <t>CINTA DE AMARRAÇÃO DE ALVENARIA MOLDADA IN LOCO COM UTILIZAÇÃO DE BLOCOS CANALETA (EXCETO FERRAGEM)</t>
  </si>
  <si>
    <t>m</t>
  </si>
  <si>
    <t>5.7.3</t>
  </si>
  <si>
    <t>ARMAÇÃO DE ESTRUTURAS DE CONCRETO ARMADO, EXCETO VIGAS, PILARES, LAJES E FUNDAÇÕES, UTILIZANDO AÇO CA-60 DE 5,0 MM - MONTAGEM. AF_12/2015</t>
  </si>
  <si>
    <t>5.7.4</t>
  </si>
  <si>
    <t>ARMAÇÃO DE ESTRUTURAS DE CONCRETO ARMADO, EXCETO VIGAS, PILARES, LAJES E FUNDAÇÕES, UTILIZANDO AÇO CA-50 DE 8,0 MM - MONTAGEM. AF_12/2015</t>
  </si>
  <si>
    <t>5.7.5</t>
  </si>
  <si>
    <t>ARMAÇÃO DE ESTRUTURAS DE CONCRETO ARMADO, EXCETO VIGAS, PILARES, LAJES E FUNDAÇÕES, UTILIZANDO AÇO CA-50 DE 10,0 MM - MONTAGEM. AF_12/2015</t>
  </si>
  <si>
    <t>5.7.6</t>
  </si>
  <si>
    <t>CONCRETO FCK = 15MPA, TRAÇO 1:3,4:3,5 (CIMENTO/ AREIA MÉDIA/ BRITA 1)  - PREPARO MECÂNICO COM BETONEIRA 600 L. AF_07/2016</t>
  </si>
  <si>
    <t>5.7.7</t>
  </si>
  <si>
    <t>LANCAMENTO/APLICACAO MANUAL DE CONCRETO EM FUNDACOES</t>
  </si>
  <si>
    <t>5.8</t>
  </si>
  <si>
    <t>RESERVATÓRIO INFERIOR</t>
  </si>
  <si>
    <t>5.8.1</t>
  </si>
  <si>
    <t>COMPACTACAO MECANICA C/ CONTROLE DO GC&amp;gt;=95% DO PN (AREAS) (C/MONIVELADORA 140 HP E ROLO COMPRESSOR VIBRATORIO 80 HP)</t>
  </si>
  <si>
    <t>5.8.2</t>
  </si>
  <si>
    <t>5.8.3</t>
  </si>
  <si>
    <t>FORMA TABUA P/ CONCRETO EM FUNDACAO RADIER C/ REAPROVEITAMENTO 3X.</t>
  </si>
  <si>
    <t>5.8.4</t>
  </si>
  <si>
    <t>5.8.5</t>
  </si>
  <si>
    <t>CONCRETO USINADO FCK=30MPA, INCLUSIVE LANÇAMENTO/APLICAÇÃO MANUAL EM FUNDAÇÕES</t>
  </si>
  <si>
    <t>6</t>
  </si>
  <si>
    <t>VEDAÇÕES E DIVISÓRIAS</t>
  </si>
  <si>
    <t>6.1</t>
  </si>
  <si>
    <t>ALVENARIAS</t>
  </si>
  <si>
    <t>6.1.1</t>
  </si>
  <si>
    <t>ALVENARIA DE VEDAÇÃO DE BLOCOS CERÂMICOS FURADOS NA HORIZONTAL DE 11,5X19X19CM (ESPESSURA 11,5CM) DE PAREDES COM ÁREA LÍQUIDA MENOR QUE 6M² SEM VÃOS E ARGAMASSA DE ASSENTAMENTO COM PREPARO EM BETONEIRA. AF_06/2014</t>
  </si>
  <si>
    <t>6.1.2</t>
  </si>
  <si>
    <t>ALVENARIA DE VEDAÇÃO DE BLOCOS CERÂMICOS FURADOS NA HORIZONTAL DE 11,5X19X19CM (ESPESSURA 11,5M) DE PAREDES COM ÁREA LÍQUIDA MAIOR OU IGUAL A 6M² SEM VÃOS E ARGAMASSA DE ASSENTAMENTO COM PREPARO EM BETONEIRA. AF_06/2014</t>
  </si>
  <si>
    <t>6.1.3</t>
  </si>
  <si>
    <t>ALVENARIA DE VEDAÇÃO DE BLOCOS CERÂMICOS FURADOS NA HORIZONTAL DE 11,5X19X19CM (ESPESSURA 11,5CM) DE PAREDES COM ÁREA LÍQUIDA MENOR QUE 6M² COM VÃOS E ARGAMASSA DE ASSENTAMENTO COM PREPARO EM BETONEIRA. AF_06/2014</t>
  </si>
  <si>
    <t>6.1.4</t>
  </si>
  <si>
    <t>ALVENARIA DE VEDAÇÃO DE BLOCOS CERÂMICOS FURADOS NA HORIZONTAL DE 11,5X19X19CM (ESPESSURA 11,5CM) DE PAREDES COM ÁREA LÍQUIDA MAIOR OU IGUAL A 6M² COM VÃOS E ARGAMASSA DE ASSENTAMENTO COM PREPARO EM BETONEIRA. AF_06/2014</t>
  </si>
  <si>
    <t>6.1.5</t>
  </si>
  <si>
    <t>ALVENARIA DE VEDAÇÃO DE BLOCOS VAZADOS DE CONCRETO DE 19X19X39CM (ESPESSURA 19CM) DE PAREDES COM ÁREA LÍQUIDA MAIOR OU IGUAL A 6M² SEM VÃOS E ARGAMASSA DE ASSENTAMENTO COM PREPARO EM BETONEIRA. AF_06/2014</t>
  </si>
  <si>
    <t>6.1.6</t>
  </si>
  <si>
    <t>ALVENARIA DE VEDAÇÃO DE BLOCOS VAZADOS DE CONCRETO DE 19X19X39CM (ESPESSURA 19CM) DE PAREDES COM ÁREA LÍQUIDA MAIOR OU IGUAL A 6M² COM VÃOS E ARGAMASSA DE ASSENTAMENTO COM PREPARO EM BETONEIRA. AF_06/2014</t>
  </si>
  <si>
    <t>6.1.7</t>
  </si>
  <si>
    <t>FIXAÇÃO (ENCUNHAMENTO) DE ALVENARIA DE VEDAÇÃO COM ARGAMASSA APLICADA COM COLHER. AF_03/2016</t>
  </si>
  <si>
    <t>6.1.8</t>
  </si>
  <si>
    <t>VERGA PRÉ-MOLDADA PARA JANELAS COM ATÉ 1,5 M DE VÃO. AF_03/2016</t>
  </si>
  <si>
    <t>6.1.9</t>
  </si>
  <si>
    <t>VERGA PRÉ-MOLDADA PARA JANELAS COM MAIS DE 1,5 M DE VÃO. AF_03/2016</t>
  </si>
  <si>
    <t>6.1.10</t>
  </si>
  <si>
    <t>VERGA PRÉ-MOLDADA PARA PORTAS COM ATÉ 1,5 M DE VÃO. AF_03/2016</t>
  </si>
  <si>
    <t>6.1.11</t>
  </si>
  <si>
    <t>VERGA PRÉ-MOLDADA PARA PORTAS COM MAIS DE 1,5 M DE VÃO. AF_03/2016</t>
  </si>
  <si>
    <t>6.1.12</t>
  </si>
  <si>
    <t>CONTRAVERGA PRÉ-MOLDADA PARA VÃOS DE ATÉ 1,5 M DE COMPRIMENTO. AF_03/2016</t>
  </si>
  <si>
    <t>6.1.13</t>
  </si>
  <si>
    <t>CONTRAVERGA PRÉ-MOLDADA PARA VÃOS DE MAIS DE 1,5 M DE COMPRIMENTO. AF_03/2016</t>
  </si>
  <si>
    <t>6.1.14</t>
  </si>
  <si>
    <t>Cobogó de cimento, com único furo, dim: 20 x 20cm</t>
  </si>
  <si>
    <t>6.1.15</t>
  </si>
  <si>
    <t>ADAP_ORSE_(11396) - Cobogo cimento tipo "veneziana", dim: 40 x 40 x 9cm, com tela fio 12 bwg, malha 1/2"</t>
  </si>
  <si>
    <t>6.1.16</t>
  </si>
  <si>
    <t>Tela de aço galvanizado fio 14bwg, sem revestimento, malha 5X5cm (Adaptada) (Reforço alvenaria)</t>
  </si>
  <si>
    <t>6.1.17</t>
  </si>
  <si>
    <t>CINTA DE AMARRAÇÃO DE ALVENARIA MOLDADA IN LOCO EM CONCRETO. AF_03/2016</t>
  </si>
  <si>
    <t>6.2</t>
  </si>
  <si>
    <t>DIVISÓRIAS</t>
  </si>
  <si>
    <t>6.2.1</t>
  </si>
  <si>
    <t>PAREDE COM PLACAS DE GESSO ACARTONADO (DRYWALL), PARA USO INTERNO, COM DUAS FACES SIMPLES E ESTRUTURA METÁLICA COM GUIAS SIMPLES, COM VÃOS AF_06/2017_P</t>
  </si>
  <si>
    <t>6.2.2</t>
  </si>
  <si>
    <t>PAREDE COM PLACAS DE GESSO ACARTONADO (DRYWALL), PARA USO INTERNO, COM DUAS FACES SIMPLES E ESTRUTURA METÁLICA COM GUIAS SIMPLES, SEM VÃOS. AF_06/2017_P</t>
  </si>
  <si>
    <t>6.2.3</t>
  </si>
  <si>
    <t>Divisória em granito cinza andorinha polido, e=2cm, inclusive montagem com ferragens</t>
  </si>
  <si>
    <t>6.2.4</t>
  </si>
  <si>
    <t>DIVISORIA EM GRANITO CINZA ANDORINHA POLIDO, E=2CM, ASSENTADO COM ARGAMASSA TRACO 1:4, ARREMATE EM CIMENTO BRANCO, EXCLUSIVE FERRAGENS</t>
  </si>
  <si>
    <t>6.3</t>
  </si>
  <si>
    <t>BANCADA DA RECEPÇÃO</t>
  </si>
  <si>
    <t>6.3.1</t>
  </si>
  <si>
    <t>6.3.2</t>
  </si>
  <si>
    <t>CHAPISCO APLICADO EM ALVENARIAS E ESTRUTURAS DE CONCRETO INTERNAS, COM COLHER DE PEDREIRO.  ARGAMASSA TRAÇO 1:3 COM PREPARO EM BETONEIRA 400L. AF_06/2014</t>
  </si>
  <si>
    <t>6.3.3</t>
  </si>
  <si>
    <t>(COMPOSIÇÃO REPRESENTATIVA) DO SERVIÇO DE EMBOÇO/MASSA ÚNICA, APLICADO MANUALMENTE, TRAÇO 1:2:8, EM BETONEIRA DE 400L, PAREDES INTERNAS, COM EXECUÇÃO DE TALISCAS, EDIFICAÇÃO HABITACIONAL UNIFAMILIAR (CASAS) E EDIFICAÇÃO PÚBLICA PADRÃO. AF_12/2014</t>
  </si>
  <si>
    <t>6.3.4</t>
  </si>
  <si>
    <t>REVESTIMENTO CERÂMICO PARA PAREDES EXTERNAS EM PASTILHAS DE PORCELANA 10 X 10 CM_COR_CINZA (PLACAS DE 30 X 30 CM), ALINHADAS A PRUMO, APLICADO EM PANOS SEM VÃOS. AF_06/2014</t>
  </si>
  <si>
    <t>6.3.5</t>
  </si>
  <si>
    <t>APLICAÇÃO DE FUNDO SELADOR ACRÍLICO EM PAREDES, UMA DEMÃO. AF_06/2014</t>
  </si>
  <si>
    <t>6.3.6</t>
  </si>
  <si>
    <t>APLICAÇÃO E LIXAMENTO DE MASSA LÁTEX EM PAREDES, DUAS DEMÃOS. AF_06/2014</t>
  </si>
  <si>
    <t>6.3.7</t>
  </si>
  <si>
    <t>APLICAÇÃO MANUAL DE PINTURA COM TINTA LÁTEX ACRÍLICA EM PAREDES, DUAS DEMÃOS. AF_06/2014</t>
  </si>
  <si>
    <t>6.3.8</t>
  </si>
  <si>
    <t>6.3.9</t>
  </si>
  <si>
    <t>Tampo de balcão em granito cinza andorinha, e=2cm</t>
  </si>
  <si>
    <t>7</t>
  </si>
  <si>
    <t>ESQUADRIAS E VIDRAÇARIA</t>
  </si>
  <si>
    <t>7.1</t>
  </si>
  <si>
    <t>PORTAS</t>
  </si>
  <si>
    <t>7.1.1</t>
  </si>
  <si>
    <t>PM1 - PORTA DE MADEIRA SEMI-OCA, 1 FOLHA DE ABRIR, 0,90X2,10M, REVESTIDA COM LAMINADO MELAMÍNICO, COMPLETA, INCLUSIVE FERRAGENS</t>
  </si>
  <si>
    <t>7.1.2</t>
  </si>
  <si>
    <t>PM2 - PORTA DE MADEIRA SEMI-OCA, 1 FOLHA DE ABRIR, 0,80X2,10M, REVESTIDA COM LAMINADO MELAMÍNICO, COMPLETA, INCLUSIVE FERRAGENS</t>
  </si>
  <si>
    <t>7.1.3</t>
  </si>
  <si>
    <t>PM3 - PORTA DE MADEIRA SEMI-OCA, 1 FOLHA DE ABRIR, 0,90X2,10M, REVESTIDA COM LAMINADO MELAMÍNICO, COMPLETA, INCLUSIVE FERRAGENS, COM CHAPA E PUXADOR EM INOX</t>
  </si>
  <si>
    <t>7.1.4</t>
  </si>
  <si>
    <t>PM4 - PORTA DE MADEIRA SEMI-OCA, 2 FOLHAS DE ABRIR, 1,60X2,10M, REVESTIDA COM LAMINADO MELAMÍNICO, COMPLETA, INCLUSIVE FERRAGENS</t>
  </si>
  <si>
    <t>7.1.5</t>
  </si>
  <si>
    <t>PM5 - PORTA DE MADEIRA SEMI-OCA, 1 FOLHA DE ABRIR, 0,60X2,10M, REVESTIDA COM LAMINADO MELAMÍNICO, COMPLETA, INCLUSIVE FERRAGENS</t>
  </si>
  <si>
    <t>7.1.6</t>
  </si>
  <si>
    <t>PA1 - PORTA EM ALUMÍNIO ANODIZADO PRETO, 2 FOLHAS DE ABRIR, 2,00X2,70M, COM VENEZIANA, COMPLETA, INCLUSIVE BARRA ANTI-PÂNICO</t>
  </si>
  <si>
    <t>7.1.7</t>
  </si>
  <si>
    <t>PA2 - PORTA EM ALUMÍNIO ANODIZADO PRETO, 1 FOLHA DE ABRIR, 0,80X2,10M, COM VENEZIANA, INCLUSIVE FERRAGENS</t>
  </si>
  <si>
    <t>7.1.8</t>
  </si>
  <si>
    <t>PA3 - PORTA EM ALUMÍNIO ANODIZADO PRETO, 1 FOLHA DE ABRIR, 0,80X2,10M, COM VISOR, INCLUSIVE FERRAGENS</t>
  </si>
  <si>
    <t>7.1.9</t>
  </si>
  <si>
    <t>PA4 - PORTA EM ALUMÍNIO ANODIZADO PRETO, 2 FOLHAS DE ABRIR, 1,2X2,10M, COM VENEZIANA, INCLUSIVE FERRAGENS</t>
  </si>
  <si>
    <t>7.1.10</t>
  </si>
  <si>
    <t>PB - PORTA PARA BOX, 1 FOLHA DE ABRIR, 0,70X1,80M, REVESTIDA COM LAMINADO MELAMÍNICO, COMPLETA, INCLUSIVE TARJETA LIVRE/OCUPADO</t>
  </si>
  <si>
    <t>7.1.11</t>
  </si>
  <si>
    <t>PV1 - PORTA EM VIDRO TEMPERADO LISO E INCOLOR ESP.: 10MM, 2 FOLHAS DE ABRIR, 2,00X2,10M, COMPLETA, INCLUSIVE FERRAGENS (Adaptada SINAPI 73838/001)</t>
  </si>
  <si>
    <t>7.1.12</t>
  </si>
  <si>
    <t>PV2 - PAINEL 4,90X3,95M EM ALUMÍNIO ANODIZADO PRETO E PORTA EM VIDRO TEMPERADO LISO ESP.: 10MM FIXO, COM PORTA DE ABRIR 2 FOLHAS 0,95X2,65M, COMPLETA, INCLUSIVE FERRAGENS</t>
  </si>
  <si>
    <t>7.1.13</t>
  </si>
  <si>
    <t>PV3- PAINEL EM ALUMÍNIO COM VIDRO COMUM 4,25X2,85M, COMPLETO, INCLUSIVE FERRAGENS</t>
  </si>
  <si>
    <t>7.1.14</t>
  </si>
  <si>
    <t>PV4- PAINEL EM ALUMÍNIO COM VIDRO COMUM 4,75X2,85M, COMPLETO, INCLUSIVE FERRAGENS</t>
  </si>
  <si>
    <t>7.1.15</t>
  </si>
  <si>
    <t>Mola hidráulica para porta de madeira (Brasil ou similar)</t>
  </si>
  <si>
    <t>7.2</t>
  </si>
  <si>
    <t>JANELAS</t>
  </si>
  <si>
    <t>7.2.1</t>
  </si>
  <si>
    <t>JV1 - JANELA EM VENEZIANA DE ALUMÍNIO ANODIZADO PRETO, 1 FOLHA FIXA, 0,80X0,60M</t>
  </si>
  <si>
    <t>7.2.2</t>
  </si>
  <si>
    <t>JA1 - JANELA EM ALUMÍNIO ANODIZADO PRETO, 2 FOLHAS DE CORRER, COM VIDRO COMUM ESP.: 6MM, 2,20X1,60M</t>
  </si>
  <si>
    <t>7.2.3</t>
  </si>
  <si>
    <t>JA2 - JANELA EM ALUMÍNIO ANODIZADO PRETO, 2 FOLHAS DE CORRER, COM VIDRO COMUM INCOLOR ESP.: 6MM, 1,80X1,60M</t>
  </si>
  <si>
    <t>7.2.4</t>
  </si>
  <si>
    <t>JA3 - JANELA EM ALUMÍNIO ANODIZADO PRETO, TIPO BASCULANTE, COM VIDRO COMUM INCOLOR ESP.: 4MM, 0,70X1,10M</t>
  </si>
  <si>
    <t>7.2.5</t>
  </si>
  <si>
    <t>JA4 - JANELA EM ALUMÍNIO ANODIZADO PRETO, 4 FOLHAS DE CORRER, COM VIDRO COMUM INCOLOR ESP.: 6MM, 4,40X1,60M</t>
  </si>
  <si>
    <t>7.2.6</t>
  </si>
  <si>
    <t>JA5 - JANELA EM ALUMÍNIO ANODIZADO PRETO, 2 FOLHAS FIXAS E 4 FOLHAS DE CORRER, COM VIDRO COMUM FUMÊ ESP.: 6MM, 6,00X1,10M</t>
  </si>
  <si>
    <t>7.2.7</t>
  </si>
  <si>
    <t>JA6 - JANELA EM ALUMÍNIO ANODIZADO PRETO, 8 FOLHAS FIXAS E 8 FOLHAS DE CORRER, COM VIDRO COMUM FUMÊ ESP.: 6MM, 7,15X3,55M</t>
  </si>
  <si>
    <t>7.2.8</t>
  </si>
  <si>
    <t>JA7 - JANELA EM ALUMÍNIO ANODIZADO PRETO, 2 FOLHAS DE CORRER, COM VIDRO COMUM ESP.: 6MM, 1,55X1,60M</t>
  </si>
  <si>
    <t>7.2.9</t>
  </si>
  <si>
    <t>JA8 - JANELA EM ALUMÍNIO ANODIZADO PRETO, 2 FOLHAS DE CORRER, COM VIDRO COMUM INCOLOR ESP.: 6MM, 1,30X1,60M</t>
  </si>
  <si>
    <t>7.2.10</t>
  </si>
  <si>
    <t>JA9 - JANELA EM ALUMÍNIO ANODIZADO PRETO, 2 FOLHAS DE CORRER, COM VIDRO COMUM ESP. 6MM FUMÊ, 1,63X1,20M</t>
  </si>
  <si>
    <t>7.2.11</t>
  </si>
  <si>
    <t>JA10 - JANELA EM ALUMÍNIO ANODIZADO PRETO, FIXO, COM VIDRO COMUM ESP. 6MM FUMÊ, 2,74X1,20M</t>
  </si>
  <si>
    <t>7.2.12</t>
  </si>
  <si>
    <t>JA11 - JANELA EM ALUMÍNIO ANODIZADO PRETO, 2 FOLHAS DE CORRER, COM VIDRO COMUM ESP. 6MM FUMÊ, 1,12X1,20M</t>
  </si>
  <si>
    <t>7.2.13</t>
  </si>
  <si>
    <t>JA12 - JANELA EM ALUMÍNIO ANODIZADO PRETO, 2 FOLHAS DE CORRER, COM VIDRO COMUM ESP. 6MM FUMÊ, 0,90X1,20M</t>
  </si>
  <si>
    <t>7.2.14</t>
  </si>
  <si>
    <t>JA13 - JANELA EM ALUMÍNIO ANODIZADO PRETO, TIPO BASCULANTE, COM VIDRO COMUM ESP. 4MM INCOLOR, 0,70X0,70M</t>
  </si>
  <si>
    <t>7.3</t>
  </si>
  <si>
    <t>VISORES</t>
  </si>
  <si>
    <t>7.3.1</t>
  </si>
  <si>
    <t>V1 - VISOR EM ALUMÍNIO COM VIDRO COMUM LISO ESP.: 4MM, 1,80X1,10M</t>
  </si>
  <si>
    <t>7.3.2</t>
  </si>
  <si>
    <t>V2 - VISOR EM ALUMÍNIO COM VIDRO COMUM LISO ESP.: 4MM, 1,40X1,10M</t>
  </si>
  <si>
    <t>7.3.3</t>
  </si>
  <si>
    <t>V3 - VISOR EM ALUMÍNIO COM VIDRO COMUM LISO ESP.: 4MM, 2,50X0,80M</t>
  </si>
  <si>
    <t>8</t>
  </si>
  <si>
    <t>COBERTURA</t>
  </si>
  <si>
    <t>8.1</t>
  </si>
  <si>
    <t>FABRICAÇÃO E INSTALAÇÃO DE ESTRUTURA PONTALETADA DE MADEIRA NÃO APARELHADA PARA TELHADOS COM ATÉ 2 ÁGUAS E PARA TELHA ONDULADA DE FIBROCIMENTO, METÁLICA, PLÁSTICA OU TERMOACÚSTICA, INCLUSO TRANSPORTE VERTICAL. AF_12/2015</t>
  </si>
  <si>
    <t>8.2</t>
  </si>
  <si>
    <t>TRAMA DE MADEIRA COMPOSTA POR TERÇAS PARA TELHADOS DE ATÉ 2 ÁGUAS PARA TELHA ONDULADA DE FIBROCIMENTO, METÁLICA, PLÁSTICA OU TERMOACÚSTICA, INCLUSO TRANSPORTE VERTICAL. AF_12/2015</t>
  </si>
  <si>
    <t>8.3</t>
  </si>
  <si>
    <t>IMUNIZACAO DE MADEIRAMENTO PARA COBERTURA UTILIZANDO CUPINICIDA INCOLOR</t>
  </si>
  <si>
    <t>8.4</t>
  </si>
  <si>
    <t>TELHAMENTO COM TELHA ONDULADA DE FIBROCIMENTO E = 6 MM, COM RECOBRIMENTO LATERAL DE 1 1/4 DE ONDA PARA TELHADO COM INCLINAÇÃO MÁXIMA DE 10°, COM ATÉ 2 ÁGUAS, INCLUSO IÇAMENTO. AF_06/2016</t>
  </si>
  <si>
    <t>8.5</t>
  </si>
  <si>
    <t>CUMEEIRA PARA TELHA DE FIBROCIMENTO ONDULADA E = 6 MM, INCLUSO ACESSÓRIOS DE FIXAÇÃO E IÇAMENTO. AF_06/2016</t>
  </si>
  <si>
    <t>8.6</t>
  </si>
  <si>
    <t>Rufo de concreto armado fck=20mpa l=30cm e h=5cm</t>
  </si>
  <si>
    <t>8.7</t>
  </si>
  <si>
    <t>Chapim de granito cinza andorinha, c/ largura = 22 cm, esp = 2 cm</t>
  </si>
  <si>
    <t>9</t>
  </si>
  <si>
    <t>IMPERMEABILIZAÇÃO</t>
  </si>
  <si>
    <t>9.1</t>
  </si>
  <si>
    <t>IMPERMEABILIZACAO DE SUPERFICIE COM MANTA ASFALTICA (COM POLIMEROS TIPO APP), E=4 MM</t>
  </si>
  <si>
    <t>9.2</t>
  </si>
  <si>
    <t>IMPERMEABILIZACAO DE SUPERFICIE COM ASFALTO ELASTOMERICO, INCLUSOS PRIMER E VEU DE FIBRA DE VIDRO.</t>
  </si>
  <si>
    <t>9.3</t>
  </si>
  <si>
    <t>IMPERMEABILIZACAO DE ESTRUTURAS ENTERRADAS, COM TINTA ASFALTICA, DUAS DEMAOS.</t>
  </si>
  <si>
    <t>9.4</t>
  </si>
  <si>
    <t>IMPERMEABILIZACAO DE SUPERFICIE COM REVESTIMENTO BICOMPONENTE SEMI FLEXIVEL.</t>
  </si>
  <si>
    <t>9.5</t>
  </si>
  <si>
    <t>JUNTA DE DILATACAO PARA IMPERMEABILIZACAO, COM SELANTE ELASTICO MONOCOMPONENTE A BASE DE POLIURETANO, DIMENSOES 1X1CM.</t>
  </si>
  <si>
    <t>9.6</t>
  </si>
  <si>
    <t>REGULARIZAÇÃO COM ARGAMASSA DE CIMENTO E AREIA - TRAÇO 1:3, ESPESSURA MÉDIA 20MM (Adaptada SIURB 50140)</t>
  </si>
  <si>
    <t>M²</t>
  </si>
  <si>
    <t>9.7</t>
  </si>
  <si>
    <t>PROTEÇÃO MECÂNICA DE SUPERFÍCIE COM ARGAMASSA DE CIMENTO E AREIA , TRAÇO 1:3, E=2CM (SINAPI 83748 JUN/2016)</t>
  </si>
  <si>
    <t>10</t>
  </si>
  <si>
    <t>REVESTIMENTOS</t>
  </si>
  <si>
    <t>10.1</t>
  </si>
  <si>
    <t>PAREDES INTERNAS</t>
  </si>
  <si>
    <t>10.1.1</t>
  </si>
  <si>
    <t>10.1.2</t>
  </si>
  <si>
    <t>10.1.3</t>
  </si>
  <si>
    <t>(COMPOSIÇÃO REPRESENTATIVA) DO SERVIÇO DE REVESTIMENTO CERÂMICO PARA PAREDES INTERNAS, MEIA PAREDE, OU PAREDE INTEIRA, PLACAS GRÊS OU SEMI-GRÊS DE 20X20 CM, PARA EDIFICAÇÕES HABITACIONAIS UNIFAMILIAR (CASAS) E EDIFICAÇÕES PÚBLICAS PADRÃO. AF_11/2014</t>
  </si>
  <si>
    <t>10.2</t>
  </si>
  <si>
    <t>PAREDES EXTERNAS</t>
  </si>
  <si>
    <t>10.2.1</t>
  </si>
  <si>
    <t>CHAPISCO APLICADO EM ALVENARIA (SEM PRESENÇA DE VÃOS) E ESTRUTURAS DE CONCRETO DE FACHADA, COM COLHER DE PEDREIRO.  ARGAMASSA TRAÇO 1:3 COM PREPARO EM BETONEIRA 400L. AF_06/2014</t>
  </si>
  <si>
    <t>10.2.2</t>
  </si>
  <si>
    <t>CHAPISCO APLICADO EM ALVENARIA (COM PRESENÇA DE VÃOS) E ESTRUTURAS DE CONCRETO DE FACHADA, COM COLHER DE PEDREIRO.  ARGAMASSA TRAÇO 1:3 COM PREPARO EM BETONEIRA 400L. AF_06/2014</t>
  </si>
  <si>
    <t>10.2.3</t>
  </si>
  <si>
    <t>EMBOÇO OU MASSA ÚNICA EM ARGAMASSA TRAÇO 1:2:8, PREPARO MECÂNICO COM BETONEIRA 400 L, APLICADA MANUALMENTE EM PANOS CEGOS DE FACHADA (SEM PRESENÇA DE VÃOS), ESPESSURA DE 25 MM. AF_06/2014</t>
  </si>
  <si>
    <t>10.2.4</t>
  </si>
  <si>
    <t>EMBOÇO OU MASSA ÚNICA EM ARGAMASSA TRAÇO 1:2:8, PREPARO MECÂNICO COM BETONEIRA 400 L, APLICADA MANUALMENTE EM PANOS DE FACHADA COM PRESENÇA DE VÃOS, ESPESSURA DE 25 MM. AF_06/2014</t>
  </si>
  <si>
    <t>10.2.5</t>
  </si>
  <si>
    <t>REVESTIMENTO CERÂMICO PARA PAREDES EXTERNAS EM PASTILHAS DE PORCELANA 5 X 5 CM VERMELHA, ALINHADAS A PRUMO, APLICADO EM PANOS COM VÃOS. AF_06/2014</t>
  </si>
  <si>
    <t>10.2.6</t>
  </si>
  <si>
    <t>REVESTIMENTO CERÂMICO PARA PAREDES EXTERNAS EM PASTILHAS DE PORCELANA 5 X 5 CM VERMELHA, ALINHADAS A PRUMO, APLICADO EM PANOS SEM VÃOS. AF_06/2014</t>
  </si>
  <si>
    <t>10.2.7</t>
  </si>
  <si>
    <t>REVESTIMENTO CERÂMICO PARA PAREDES EXTERNAS EM PASTILHAS DE PORCELANA 10 X 10 CM_COR_CINZA (PLACAS DE 30 X 30 CM), ALINHADAS A PRUMO, APLICADO EM PANOS COM VÃOS. AF_06/2014</t>
  </si>
  <si>
    <t>10.2.8</t>
  </si>
  <si>
    <t>10.2.9</t>
  </si>
  <si>
    <t>REVESTIMENTO CERÂMICO PARA PAREDES EXTERNAS EM PASTILHAS DE PORCELANA 10 X 10 CM_COR_BRANCO (PLACAS DE 30 X 30 CM), ALINHADAS A PRUMO, APLICADO EM PANOS COM VÃOS. AF_06/2014</t>
  </si>
  <si>
    <t>10.2.10</t>
  </si>
  <si>
    <t>REVESTIMENTO CERÂMICO PARA PAREDES EXTERNAS EM PASTILHAS DE PORCELANA 10 X 10 CM_COR_BRANCO (PLACAS DE 30 X 30 CM), ALINHADAS A PRUMO, APLICADO EM PANOS SEM VÃOS. AF_06/2014</t>
  </si>
  <si>
    <t>10.2.11</t>
  </si>
  <si>
    <t>Revestimento metálico em alumínio composto (Alucobond), e=0,3mm, pintura Kaynar 500 composta por seis camadas,  inclusive estrutura metálica auxiliar em perfil de viga "U" de 2" - fornecimento e montagem</t>
  </si>
  <si>
    <t>11</t>
  </si>
  <si>
    <t>PAVIMENTAÇÃO E ARREMATES</t>
  </si>
  <si>
    <t>11.1</t>
  </si>
  <si>
    <t>AMBIENTES INTERNOS</t>
  </si>
  <si>
    <t>11.1.1</t>
  </si>
  <si>
    <t>CONTRAPISO EM ARGAMASSA TRAÇO 1:4 (CIMENTO E AREIA), PREPARO MECÂNICO COM BETONEIRA 400 L, APLICADO EM ÁREAS SECAS SOBRE LAJE, ADERIDO, ESPESSURA 2CM. AF_06/2014</t>
  </si>
  <si>
    <t>11.1.2</t>
  </si>
  <si>
    <t>PISO INDUSTRIAL ALTA RESISTENCIA, ESPESSURA 12MM, INCLUSO JUNTAS DE DILATACAO PLASTICAS E POLIMENTO MECANIZADO</t>
  </si>
  <si>
    <t>11.1.3</t>
  </si>
  <si>
    <t>(COMPOSIÇÃO REPRESENTATIVA) DO SERVIÇO DE REVESTIMENTO CERÂMICO PARA PISO COM PLACAS TIPO GRÉS DE DIMENSÕES 35X35 CM, PARA EDIFICAÇÃO HABITACIONAL UNIFAMILIAR (CASA) E EDIFICAÇÃO PÚBLICA PADRÃO. AF_11/2014</t>
  </si>
  <si>
    <t>11.2</t>
  </si>
  <si>
    <t>ÁREA EXTERNA</t>
  </si>
  <si>
    <t>11.2.1</t>
  </si>
  <si>
    <t>EXECUÇÃO DE PAVIMENTO EM PISO INTERTRAVADO, COM BLOCO PISOGRAMA DE 35 X 25 CM, ESPESSURA 8 CM. AF_12/2015</t>
  </si>
  <si>
    <t>11.2.2</t>
  </si>
  <si>
    <t>EXECUÇÃO DE PASSEIO (CALÇADA) OU PISO DE CONCRETO COM CONCRETO MOLDADO IN LOCO, USINADO, ACABAMENTO CONVENCIONAL, ESPESSURA 6 CM, ARMADO. AF_07/2016</t>
  </si>
  <si>
    <t>11.2.3</t>
  </si>
  <si>
    <t>ASSENTAMENTO DE GUIA (MEIO-FIO) EM TRECHO RETO, CONFECCIONADA EM CONCRETO PRÉ-FABRICADO, DIMENSÕES 100X15X13X20 CM (COMPRIMENTO X BASE INFERIOR X BASE SUPERIOR X ALTURA), PARA URBANIZAÇÃO INTERNA DE EMPREENDIMENTOS. AF_06/2016_P</t>
  </si>
  <si>
    <t>11.2.4</t>
  </si>
  <si>
    <t>Prisma de fechamento para estacionamentos, em pré-moldado de concreto, dimensões 1,00 x 0,20 x 0,17 m</t>
  </si>
  <si>
    <t>11.3</t>
  </si>
  <si>
    <t>RODAPÉS, SOLEIRAS, FILETES E PEITORIS</t>
  </si>
  <si>
    <t>11.3.1</t>
  </si>
  <si>
    <t>RODAPE EM MADEIRA, ALTURA 7CM, FIXADO COM COLA</t>
  </si>
  <si>
    <t>11.3.2</t>
  </si>
  <si>
    <t>Rodapé em granito, h = 10 cm, e = 2,0 cm, aplicado com argamassa industrializada ac-i</t>
  </si>
  <si>
    <t>11.3.3</t>
  </si>
  <si>
    <t>SOLEIRA DE GRANITO, LARGURA 15CM, ASSENTADA SOBRE ARGAMASSA TRACO 1:4 (CIMENTO E AREIA) - ADAPTADA SINAPI (84161)</t>
  </si>
  <si>
    <t>11.3.4</t>
  </si>
  <si>
    <t>PEITORIL EM GRANITO CINZA ANDORINHA OU CORUMBÁ, LARGURA DE 17CM, ASSENTADO COM ARGAMASSA TRACO 1:4 (CIMENTO E AREIA MEDIA), PREPARO MANUAL DA ARGAMASSA - ADAPTADA SINAPI (84088)</t>
  </si>
  <si>
    <t>12</t>
  </si>
  <si>
    <t>FORROS</t>
  </si>
  <si>
    <t>12.1</t>
  </si>
  <si>
    <t>FORRO DE GESSO EM PLACAS 60X60CM, ESPESSURA 1,2CM, INCLUSIVE FIXACAO COM ARAME</t>
  </si>
  <si>
    <t>12.2</t>
  </si>
  <si>
    <t>Forro de gesso acartonado, cor branca, placa 1243 x 618mm, marca GYPSUM, modelo gessolyne ou similar, instalado (revestimento em PVC)</t>
  </si>
  <si>
    <t>12.3</t>
  </si>
  <si>
    <t>Fornecimento e colocação de forro em fibra mineral armstrong georgian (rh 90)</t>
  </si>
  <si>
    <t>13</t>
  </si>
  <si>
    <t>PINTURAS</t>
  </si>
  <si>
    <t>13.1</t>
  </si>
  <si>
    <t>13.1.1</t>
  </si>
  <si>
    <t>13.1.2</t>
  </si>
  <si>
    <t>13.1.3</t>
  </si>
  <si>
    <t>13.2</t>
  </si>
  <si>
    <t>13.2.1</t>
  </si>
  <si>
    <t>APLICAÇÃO MANUAL DE FUNDO SELADOR ACRÍLICO EM PAREDES EXTERNAS DE CASAS. AF_06/2014</t>
  </si>
  <si>
    <t>13.2.2</t>
  </si>
  <si>
    <t>13.2.3</t>
  </si>
  <si>
    <t>13.3</t>
  </si>
  <si>
    <t>FORROS E TETOS</t>
  </si>
  <si>
    <t>13.3.1</t>
  </si>
  <si>
    <t>CHAPISCO APLICADO NO TETO, COM ROLO PARA TEXTURA ACRÍLICA. ARGAMASSA TRAÇO 1:4 E EMULSÃO POLIMÉRICA (ADESIVO) COM PREPARO MANUAL. AF_06/2014</t>
  </si>
  <si>
    <t>13.3.2</t>
  </si>
  <si>
    <t>MASSA ÚNICA, PARA RECEBIMENTO DE PINTURA, EM ARGAMASSA TRAÇO 1:2:8, PREPARO MANUAL, APLICADA MANUALMENTE EM TETO, ESPESSURA DE 20MM, COM EXECUÇÃO DE TALISCAS. AF_03/2015</t>
  </si>
  <si>
    <t>13.3.3</t>
  </si>
  <si>
    <t>APLICAÇÃO DE FUNDO SELADOR ACRÍLICO EM TETO, UMA DEMÃO. AF_06/2014</t>
  </si>
  <si>
    <t>13.3.4</t>
  </si>
  <si>
    <t>APLICAÇÃO E LIXAMENTO DE MASSA LÁTEX EM TETO, DUAS DEMÃOS. AF_06/2014</t>
  </si>
  <si>
    <t>13.3.5</t>
  </si>
  <si>
    <t>APLICAÇÃO MANUAL DE PINTURA COM TINTA LÁTEX ACRÍLICA EM TETO, DUAS DEMÃOS. AF_06/2014</t>
  </si>
  <si>
    <t>13.4</t>
  </si>
  <si>
    <t>PISOS E ELEMENTOS METÁLICOS E DE MADEIRA</t>
  </si>
  <si>
    <t>13.4.1</t>
  </si>
  <si>
    <t>PINTURA ACRILICA PARA SINALIZAÇÃO HORIZONTAL EM PISO CIMENTADO</t>
  </si>
  <si>
    <t>13.4.2</t>
  </si>
  <si>
    <t>PINTURA ESMALTE FOSCO PARA MADEIRA, DUAS DEMAOS, SOBRE FUNDO NIVELADOR BRANCO</t>
  </si>
  <si>
    <t>13.4.3</t>
  </si>
  <si>
    <t>PINTURA ESMALTE FOSCO, DUAS DEMAOS, SOBRE SUPERFICIE METALICA</t>
  </si>
  <si>
    <t>14</t>
  </si>
  <si>
    <t>SERRALHERIA</t>
  </si>
  <si>
    <t>14.1</t>
  </si>
  <si>
    <t>GRADIL DE ALUMINIO ANODIZADO TIPO BARRA CHATA</t>
  </si>
  <si>
    <t>14.2</t>
  </si>
  <si>
    <t>ALÇAPÃO EM FERRO 1,10X1,10M, INCLUSO FERRAGENS (ADAPTADA SINAPI 74073/002)</t>
  </si>
  <si>
    <t>14.3</t>
  </si>
  <si>
    <t>Fornecimento e instalação de brise metálico de alumínio ref. 84F, 45º L, da Fibrocell ou similar</t>
  </si>
  <si>
    <t>14.4</t>
  </si>
  <si>
    <t>Escada marinheiro com guarda corpo, L=45cm, executada em barras chata galvanizada 1 1/4" x 5/16", e guarda corpo d=65cm em barra chata galv.d=1"x1/8", sendo degraus em barra red. d=5/8", espaçados de 30cm, inclusive lixamento e pintura, fornec e inst</t>
  </si>
  <si>
    <t>14.5</t>
  </si>
  <si>
    <t>ESCADA TIPO MARINHEIRO EM TUBO ACO GALVANIZADO 1 1/2" 5 DEGRAUS</t>
  </si>
  <si>
    <t>14.6</t>
  </si>
  <si>
    <t>PORTAO DE FERRO EM CHAPA GALVANIZADA PLANA 14 GSG (PF1 - CASA DE LIXO)</t>
  </si>
  <si>
    <t>15</t>
  </si>
  <si>
    <t>INSTALAÇÕES ELÉTRICAS</t>
  </si>
  <si>
    <t>15.1</t>
  </si>
  <si>
    <t>QUADROS ELÉTRICOS</t>
  </si>
  <si>
    <t>15.1.1</t>
  </si>
  <si>
    <t>QGBT-INT (QUADRO GERAL DE BAIXA TENSÃO - INTERNO)</t>
  </si>
  <si>
    <t>15.1.2</t>
  </si>
  <si>
    <t>QGBT-EXT (QUADRO GERAL DE BAIXA TENSÃO - EXTERNO)</t>
  </si>
  <si>
    <t>15.1.3</t>
  </si>
  <si>
    <t>QDGUA (QUADRO DE DISTRIBUIÇÃO DA GUARITA)</t>
  </si>
  <si>
    <t>15.1.4</t>
  </si>
  <si>
    <t>QF-BREC (QUADRO DE FORÇA - BOMBA DE RECALQUE)</t>
  </si>
  <si>
    <t>15.1.5</t>
  </si>
  <si>
    <t>QDIL (QUADRO DE DISTRIBUIÇÃO DE ILUMINAÇÃO)</t>
  </si>
  <si>
    <t>15.1.6</t>
  </si>
  <si>
    <t>QDTO (QUADRO DE DISTRIBUIÇÃO DE TOMADAS)</t>
  </si>
  <si>
    <t>15.1.7</t>
  </si>
  <si>
    <t>QDIMP (QUADRO DE DISTRIBUIÇÃO PARA IMPRESSORAS)</t>
  </si>
  <si>
    <t>15.1.8</t>
  </si>
  <si>
    <t>QDAR (QUADRO DE DISTRIBUIÇÃO DE AR CONDICIONADO)</t>
  </si>
  <si>
    <t>15.1.9</t>
  </si>
  <si>
    <t>QDNB-INF (QUADRO DE DISTRIBUIÇÃO NO-BREAK - INFORMÁTICA)</t>
  </si>
  <si>
    <t>15.1.10</t>
  </si>
  <si>
    <t>QF-BIN (QUADRO DE FORÇA - BOMBA DE INCÊNDIO)</t>
  </si>
  <si>
    <t>15.2</t>
  </si>
  <si>
    <t>CABOS</t>
  </si>
  <si>
    <t>15.2.1</t>
  </si>
  <si>
    <t>CABO DE COBRE FLEXÍVEL ISOLADO, 6 MM², ANTI-CHAMA 0,6/1,0 KV, PARA CIRCUITOS TERMINAIS - FORNECIMENTO E INSTALAÇÃO. AF_12/2015</t>
  </si>
  <si>
    <t>15.2.2</t>
  </si>
  <si>
    <t>CABO DE COBRE FLEXÍVEL ISOLADO, 35 MM², ANTI-CHAMA 0,6/1,0 KV, PARA DISTRIBUIÇÃO - FORNECIMENTO E INSTALAÇÃO. AF_12/2015</t>
  </si>
  <si>
    <t>15.2.3</t>
  </si>
  <si>
    <t>CABO DE COBRE FLEXÍVEL ISOLADO, 120 MM², ANTI-CHAMA 0,6/1,0 KV, PARA DISTRIBUIÇÃO - FORNECIMENTO E INSTALAÇÃO. AF_12/2015</t>
  </si>
  <si>
    <t>15.2.4</t>
  </si>
  <si>
    <t>CABO DE COBRE FLEXÍVEL ISOLADO, 2,5 MM², ANTI-CHAMA 450/750 V, PARA CIRCUITOS TERMINAIS - FORNECIMENTO E INSTALAÇÃO. AF_12/2015</t>
  </si>
  <si>
    <t>15.2.5</t>
  </si>
  <si>
    <t>CABO DE COBRE FLEXÍVEL ISOLADO, 4 MM², ANTI-CHAMA 450/750 V, PARA CIRCUITOS TERMINAIS - FORNECIMENTO E INSTALAÇÃO. AF_12/2015</t>
  </si>
  <si>
    <t>15.2.6</t>
  </si>
  <si>
    <t>CABO DE COBRE FLEXÍVEL ISOLADO, 6 MM², ANTI-CHAMA 450/750 V, PARA CIRCUITOS TERMINAIS - FORNECIMENTO E INSTALAÇÃO. AF_12/2015</t>
  </si>
  <si>
    <t>15.2.7</t>
  </si>
  <si>
    <t>CABO DE COBRE FLEXÍVEL ISOLADO, 16 MM², ANTI-CHAMA 450/750 V, PARA CIRCUITOS TERMINAIS - FORNECIMENTO E INSTALAÇÃO. AF_12/2015</t>
  </si>
  <si>
    <t>15.2.8</t>
  </si>
  <si>
    <t>CABO DE COBRE FLEXÍVEL ISOLADO, 70 MM², ANTI-CHAMA 450/750 V, PARA DISTRIBUIÇÃO - FORNECIMENTO E INSTALAÇÃO. AF_12/2015</t>
  </si>
  <si>
    <t>15.3</t>
  </si>
  <si>
    <t>NO-BREAK</t>
  </si>
  <si>
    <t>15.3.1</t>
  </si>
  <si>
    <t>NOBREAK TRIFÁSICO 30KVA COMPLETO (COM BANCO DE BATERIAS) - SAÍDA 380/220V- 60HZ - AUTOMÁTICO (Adaptada ORSE 8331)</t>
  </si>
  <si>
    <t>CJ</t>
  </si>
  <si>
    <t>15.4</t>
  </si>
  <si>
    <t>ENTRADA DE ENERGIA/SUBESTAÇÃO/MEDIÇÃO</t>
  </si>
  <si>
    <t>15.4.1</t>
  </si>
  <si>
    <t>TRANSFORMADOR DISTRIBUICAO  150KVA TRIFASICO 60HZ CLASSE 15KV IMERSO EM ÓLEO MINERAL FORNECIMENTO E INSTALACAO</t>
  </si>
  <si>
    <t>15.4.2</t>
  </si>
  <si>
    <t>Fornecimento de manilha sapatilha em ferro nodular galvanizado</t>
  </si>
  <si>
    <t>15.4.3</t>
  </si>
  <si>
    <t>PARA-RAIO TP VALVULA 15KV/5KA - FORNECIMENTO E INSTALACAO</t>
  </si>
  <si>
    <t>15.4.4</t>
  </si>
  <si>
    <t>ISOLADOR DE SUSPENSAO (DISCO) TP CAVILHA CLASSE 15KV - 6''. FORNECIMENTO E INSTALACAO.</t>
  </si>
  <si>
    <t>15.4.5</t>
  </si>
  <si>
    <t>CONECTOR DE PARAFUSO FENDIDO EM LIGA DE COBRE COM SEPARADOR DE CABOS PARA CABO 50 MM2 - FORNECIMENTO E INSTALACAO</t>
  </si>
  <si>
    <t>15.4.6</t>
  </si>
  <si>
    <t>Conector estribo pressão para cabo Al 1/0 CAA, fornecimento</t>
  </si>
  <si>
    <t>15.4.7</t>
  </si>
  <si>
    <t>Conector estribo pressão para cabo Al 4/0 CAA, fornecimento</t>
  </si>
  <si>
    <t>15.4.8</t>
  </si>
  <si>
    <t>GRAMPO PARALELO EM ALUMINIO FUNDIDO OU ESTRUDADO DE 2 PARAFUSOS, PARA CABO DE 6 A 50 MM2, PASTA ANTIOXIDANTE. FORNEC E INSTALAÇÃO.</t>
  </si>
  <si>
    <t>15.4.9</t>
  </si>
  <si>
    <t>ARAME DE AÇO GALVANIZADO 12 BWG</t>
  </si>
  <si>
    <t>15.4.10</t>
  </si>
  <si>
    <t>ELETRODUTO RÍGIDO ROSCÁVEL, PVC, DN 110 MM (4") - FORNECIMENTO E INSTALAÇÃO. AF_12/2015</t>
  </si>
  <si>
    <t>15.4.11</t>
  </si>
  <si>
    <t>CURVA 90 GRAUS PARA ELETRODUTO, PVC, ROSCÁVEL, DN 110 MM (4") - FORNECIMENTO E INSTALAÇÃO. AF_12/2015</t>
  </si>
  <si>
    <t>15.4.12</t>
  </si>
  <si>
    <t>LUVA PARA ELETRODUTO, PVC, ROSCÁVEL, DN 110 MM (4") - FORNECIMENTO E INSTALAÇÃO. AF_12/2015</t>
  </si>
  <si>
    <t>15.4.13</t>
  </si>
  <si>
    <t>ELETRODUTO RÍGIDO ROSCÁVEL, PVC, DN 25 MM (3/4"), PARA CIRCUITOS TERMINAIS, INSTALADO EM PAREDE - FORNECIMENTO E INSTALAÇÃO. AF_12/2015</t>
  </si>
  <si>
    <t>15.4.14</t>
  </si>
  <si>
    <t>Cabeçote de alumínio de 4"</t>
  </si>
  <si>
    <t>Un</t>
  </si>
  <si>
    <t>15.4.15</t>
  </si>
  <si>
    <t>HASTE COPPERWELD 5/8 X 3,0M COM CONECTOR</t>
  </si>
  <si>
    <t>15.4.16</t>
  </si>
  <si>
    <t>Caixa de inspeção  0,30 x 0,30 x 0,40m</t>
  </si>
  <si>
    <t>15.4.17</t>
  </si>
  <si>
    <t>Tampa reforçada em ferro fundido com escotilha d=300mm, inclusive assentamento (Adaptada IOPES 160321)</t>
  </si>
  <si>
    <t>und</t>
  </si>
  <si>
    <t>15.4.18</t>
  </si>
  <si>
    <t>CABO DE COBRE NU 50MM2 - FORNECIMENTO E INSTALACAO</t>
  </si>
  <si>
    <t>15.4.19</t>
  </si>
  <si>
    <t>Cruzeta em concreto (90x115x2400mm)</t>
  </si>
  <si>
    <t>15.4.20</t>
  </si>
  <si>
    <t>Porca galv. quadrada de 24mm - rosca M 16x2- Fornecimento e colocação (Adaptada ORSE 9832)</t>
  </si>
  <si>
    <t>15.4.21</t>
  </si>
  <si>
    <t>PARAFUSO M16 EM ACO GALVANIZADO, COMPRIMENTO = 250 MM, DIAMETRO = 16 MM, ROSCA MAQUINA, CABECA QUADRADA (Adaptada ORSE 9830)</t>
  </si>
  <si>
    <t>15.4.22</t>
  </si>
  <si>
    <t>PARAFUSO M16 EM ACO GALVANIZADO, COMPRIMENTO = 400 MM, DIAMETRO = 16 MM, ROSCA MAQUINA, CABECA QUADRADA (Adaptada ORSE 9830)</t>
  </si>
  <si>
    <t>15.4.23</t>
  </si>
  <si>
    <t>PARAFUSO M16 EM ACO GALVANIZADO, COMPRIMENTO = 125 MM, DIAMETRO = 16 MM, ROSCA MAQUINA, CABECA QUADRADA (Adaptada ORSE 9830)</t>
  </si>
  <si>
    <t>15.4.24</t>
  </si>
  <si>
    <t>PARAFUSO M16 EM ACO GALVANIZADO, COMPRIMENTO = 450 MM, DIAMETRO = 16 MM, ROSCA MAQUINA, CABECA QUADRADA (Adaptada ORSE 9830)</t>
  </si>
  <si>
    <t>15.4.25</t>
  </si>
  <si>
    <t>PARAFUSO M16 EM ACO GALVANIZADO, COMPRIMENTO = 70 MM, DIAMETRO = 16 MM, ROSCA MAQUINA, CABECA QUADRADA (Adaptada ORSE 9830)</t>
  </si>
  <si>
    <t>15.4.26</t>
  </si>
  <si>
    <t>PARAFUSO M16 EM ACO GALVANIZADO, COMPRIMENTO = 150 MM, DIAMETRO = 16 MM, ROSCA MAQUINA, CABECA QUADRADA (Adaptada ORSE 9830)</t>
  </si>
  <si>
    <t>15.4.27</t>
  </si>
  <si>
    <t>ALCA PRE-FORMADA DISTRIBUIÇÃO EM  ACO RECOBERTO COM ALUMINIO PARA CABO 25MM2, ENCAPADO. FORNECIMENTO E INSTALAÇÃO.</t>
  </si>
  <si>
    <t>15.4.28</t>
  </si>
  <si>
    <t>Sela para cruzeta - Fornecimento</t>
  </si>
  <si>
    <t>15.4.29</t>
  </si>
  <si>
    <t>MÃO FRANCESA EM BARRA DE FERRO CHATO RETANGULAR 2" X 1/4", REFORÇADA, 40 X 30 CM</t>
  </si>
  <si>
    <t>15.4.30</t>
  </si>
  <si>
    <t>SUPORTE PARA TRANSFORMADOR EM POSTE DE CONCRETO CIRCULAR</t>
  </si>
  <si>
    <t>15.4.31</t>
  </si>
  <si>
    <t>OLHAL PARA PARAFUSO F 28 X 17,5 (5.000DAN) OU 16MM2</t>
  </si>
  <si>
    <t>15.4.32</t>
  </si>
  <si>
    <t>Gancho suspensão com olhal, fornecimento</t>
  </si>
  <si>
    <t>15.4.33</t>
  </si>
  <si>
    <t>CHAVE FUSIVEL UNIPOLAR, 15KV - 100A, EQUIPADA COM COMANDO PARA HASTE DE MANOBRA .       FORNECIMENTO E INSTALAÇÃO.</t>
  </si>
  <si>
    <t>15.4.34</t>
  </si>
  <si>
    <t>DISJUNTOR TERMOMAGNETICO TRIPOLAR EM CAIXA MOLDADA 250A 600V, FORNECIMENTO E INSTALACAO</t>
  </si>
  <si>
    <t>15.4.35</t>
  </si>
  <si>
    <t>SOLDA EXOTÉRMICA CARTUCHO N° 115</t>
  </si>
  <si>
    <t>15.4.36</t>
  </si>
  <si>
    <t>CABO DE COBRE FLEXÍVEL ISOLADO, 150 MM², ANTI-CHAMA 450/750 V, PARA DISTRIBUIÇÃO - FORNECIMENTO E INSTALAÇÃO. AF_12/2015</t>
  </si>
  <si>
    <t>15.4.37</t>
  </si>
  <si>
    <t>CAIXA DE MEDICAO EM ALTA TENSAO - FORNECIMENTO E INSTALACAO</t>
  </si>
  <si>
    <t>15.4.38</t>
  </si>
  <si>
    <t>Poste de concreto duplo T (DT) 11/1000 - fornecimento e assentamento</t>
  </si>
  <si>
    <t>15.4.39</t>
  </si>
  <si>
    <t>ELETRODUTO RÍGIDO ROSCÁVEL, PVC, DN 20 MM (1/2"), PARA CIRCUITOS TERMINAIS, INSTALADO EM PAREDE - FORNECIMENTO E INSTALAÇÃO. AF_12/2015</t>
  </si>
  <si>
    <t>15.4.40</t>
  </si>
  <si>
    <t>CURVA 180 GRAUS PARA ELETRODUTO, PVC, ROSCÁVEL, DN 20 MM (1/2"), PARA CIRCUITOS TERMINAIS, INSTALADA EM PAREDE - FORNECIMENTO E INSTALAÇÃO. AF_12/2015</t>
  </si>
  <si>
    <t>15.4.41</t>
  </si>
  <si>
    <t>CURVA 90 GRAUS PARA ELETRODUTO, PVC, ROSCÁVEL, DN 20 MM (1/2"), PARA CIRCUITOS TERMINAIS, INSTALADA EM PAREDE - FORNECIMENTO E INSTALAÇÃO. AF_12/2015</t>
  </si>
  <si>
    <t>15.4.42</t>
  </si>
  <si>
    <t>ESCAVAÇÃO MANUAL DE VALAS. AF_03/2016</t>
  </si>
  <si>
    <t>15.4.43</t>
  </si>
  <si>
    <t>15.4.44</t>
  </si>
  <si>
    <t>15.4.45</t>
  </si>
  <si>
    <t>ALVENARIA DE VEDAÇÃO DE BLOCOS VAZADOS DE CONCRETO DE 14X19X39CM (ESPESSURA 14CM) DE PAREDES COM ÁREA LÍQUIDA MAIOR OU IGUAL A 6M² SEM VÃOS E ARGAMASSA DE ASSENTAMENTO COM PREPARO EM BETONEIRA. AF_06/2014</t>
  </si>
  <si>
    <t>15.4.46</t>
  </si>
  <si>
    <t>CINTA DE AMARRAÇÃO DE ALVENARIA MOLDADA IN LOCO COM UTILIZAÇÃO DE BLOCOS CANALETA. AF_03/2016</t>
  </si>
  <si>
    <t>15.4.47</t>
  </si>
  <si>
    <t>15.4.48</t>
  </si>
  <si>
    <t>15.4.49</t>
  </si>
  <si>
    <t>REATERRO DE VALA COM COMPACTAÇÃO MANUAL</t>
  </si>
  <si>
    <t>15.4.50</t>
  </si>
  <si>
    <t>CABO DE COBRE NU 95MM2 - FORNECIMENTO E INSTALACAO</t>
  </si>
  <si>
    <t>15.5</t>
  </si>
  <si>
    <t>LUMINÁRIAS E ACESSÓRIOS</t>
  </si>
  <si>
    <t>15.5.1</t>
  </si>
  <si>
    <t>INTERNAS DE EMBUTIR</t>
  </si>
  <si>
    <t>15.5.1.1</t>
  </si>
  <si>
    <t>LUMINÁRIA DE EMBUTIR PARA 2 LÂMPADAS LED TUBULARES DE 24W. CORPO E ALETAS PLANAS EM CHAPA DE AÇO TRATADA COM ACABAMENTO EM PINTURA ELETROSTÁTICA EPÓXI-PÓ NA COR BRANCA. REFLETOR EM ALUMÍNIO ANODIZADO DE ALTO BRILHO, ALOJADO NA LATERAL</t>
  </si>
  <si>
    <t>15.5.1.2</t>
  </si>
  <si>
    <t>LUMINÁRIA DE EMBUTIR PARA 2 LÂMPADAS LED TUBULARES DE 24W. CORPO E COBRE SOQUETE EM CHAPA DE AÇO TRATADA COM ACABAMENTO EM PINTURA ELETROSTÁTICA EPÓXI-PÓ NA COR BRANCA. REFLETOR EM ALUMÍNIO ANODIZADO DE ALTO BRILHO, ALOJADO NA LATERAL</t>
  </si>
  <si>
    <t>15.5.1.3</t>
  </si>
  <si>
    <t>LUMINÁRIA DE EMBUTIR PARA 2 LÂMPADAS LED TUBULARES DE 18W. CORPO E COBRE SOQUETE EM CHAPA DE AÇO TRATADA COM ACABAMENTO EM PINTURA ELETROSTÁTICA EPÓXI-PÓ NA COR BRANCA. REFLETOR EM ALUMÍNIO ANODIZADO DE ALTO BRILHO, ALOJADO NA LATERAL</t>
  </si>
  <si>
    <t>15.5.1.4</t>
  </si>
  <si>
    <t>LUMINÁRIA CIRCULAR DE EMBUTIR PARA 1 LÂMPADA LED BULBO DE 18W. CORPO EM ALUMÍNIO COM ACABAMENTO EM PINTURA ELETROSTÁTICA EPÓXI-PÓ NA COR BRANCA. REFLETOR EM ALUMÍNIO ANODIZADO MULTIFACETADO DE ALTO BRILHO</t>
  </si>
  <si>
    <t>15.5.2</t>
  </si>
  <si>
    <t>INTERNAS DE SOBREPOR</t>
  </si>
  <si>
    <t>15.5.2.1</t>
  </si>
  <si>
    <t>LUMINÁRIA DE SOBREPOR PARA 2 LÂMPADAS LED TUBULARES DE 24W. CORPO E ALETAS PLANAS EM CHAPA DE AÇO TRATADA COM ACABAMENTO EM PINTURA ELETROSTÁTICA EPÓXI-PÓ NA COR BRANCA. REFLETOR EM ALUMÍNIO ANODIZADO DE ALTO BRILHO</t>
  </si>
  <si>
    <t>15.5.2.2</t>
  </si>
  <si>
    <t>Luminária tipo plafon (sobrepor), quadrada, 24x24cm, em aluminio pintado na cor branca, c/difusor em vidro, Aladin ou similar</t>
  </si>
  <si>
    <t>15.5.3</t>
  </si>
  <si>
    <t>ILUMINAÇÃO EXTERNA</t>
  </si>
  <si>
    <t>15.5.3.1</t>
  </si>
  <si>
    <t>Poste decorativo com 02 pétalas, em aço galvanizado com difusor em vidro transparente temperado, ref. PT-301/2, da Aladin ou similar, com 3,00m, inclusive lâmpada vapor metálico de 150W</t>
  </si>
  <si>
    <t>15.5.3.2</t>
  </si>
  <si>
    <t>Luminária fechada em alumínio, c/1 pétala, p/ iluminação de avenidas e praças c/difusor acrílico, ref:ALPHA, Tecnowatt ou similar, inclusive suporte fixação no topo do poste, reator e lâmpada vapor de sodio 150w</t>
  </si>
  <si>
    <t>15.5.3.3</t>
  </si>
  <si>
    <t>Luminária tipo arandela em vidro leitoso, ref:DP-1922-01, Lustres Projeto ou similar, inclusive lâmpada vapor metálico</t>
  </si>
  <si>
    <t>15.5.3.4</t>
  </si>
  <si>
    <t>Projetor de sobrepor com foco orientável, para lâmpada vapor metálico ou vapor de sódio 250/400 W</t>
  </si>
  <si>
    <t>15.5.3.5</t>
  </si>
  <si>
    <t>Arandela de uso externo em alumínio pintado, com difusor em vidro transparente, ref: DP-2011-01, Lustres Projeto ou similar, completa</t>
  </si>
  <si>
    <t>15.5.3.6</t>
  </si>
  <si>
    <t>BASE EM CONCRETO 40x40x50CM (p/ postes das luminárias tipo pétala)</t>
  </si>
  <si>
    <t>15.5.3.7</t>
  </si>
  <si>
    <t>BASE EM CONCRETO 50x20x20CM (p/ refletores)</t>
  </si>
  <si>
    <t>15.5.4</t>
  </si>
  <si>
    <t>ACESSÓRIOS GERAIS PARA ILUMINAÇÃO</t>
  </si>
  <si>
    <t>15.5.4.1</t>
  </si>
  <si>
    <t>Plugue prolongador com 2P+T de 10A, 250V</t>
  </si>
  <si>
    <t>15.5.4.2</t>
  </si>
  <si>
    <t>CABO CORDPLAST (CABO PP) 3 x 2,50 mm²</t>
  </si>
  <si>
    <t>15.5.4.3</t>
  </si>
  <si>
    <t>Cabo de cobre PP Cordplast 4 x 2,5 mm2, 450/750v - fornecimento e instalação</t>
  </si>
  <si>
    <t>15.5.4.4</t>
  </si>
  <si>
    <t>Conector Porcelana Tipo Sindal Tripolar Para Fio 16mm</t>
  </si>
  <si>
    <t>15.6</t>
  </si>
  <si>
    <t>INTERRUPTORES E ACESSÓRIOS</t>
  </si>
  <si>
    <t>15.6.1</t>
  </si>
  <si>
    <t>INTERRUPTOR SIMPLES (1 MÓDULO), 10A/250V, INCLUINDO SUPORTE E PLACA - FORNECIMENTO E INSTALAÇÃO. AF_12/2015</t>
  </si>
  <si>
    <t>15.6.2</t>
  </si>
  <si>
    <t>INTERRUPTOR SIMPLES (2 MÓDULOS), 10A/250V, INCLUINDO SUPORTE E PLACA - FORNECIMENTO E INSTALAÇÃO. AF_12/2015</t>
  </si>
  <si>
    <t>15.7</t>
  </si>
  <si>
    <t>TOMADAS E ACESSÓRIOS</t>
  </si>
  <si>
    <t>15.7.1</t>
  </si>
  <si>
    <t>TOMADA MÉDIA DE EMBUTIR (1 MÓDULO), 2P+T 20 A, INCLUINDO SUPORTE E PLACA - FORNECIMENTO E INSTALAÇÃO. AF_12/2015</t>
  </si>
  <si>
    <t>15.7.2</t>
  </si>
  <si>
    <t>TOMADA MÉDIA DE EMBUTIR (2 MÓDULOS), 2P+T 20 A, INCLUINDO SUPORTE E PLACA - FORNECIMENTO E INSTALAÇÃO. AF_12/2015</t>
  </si>
  <si>
    <t>15.8</t>
  </si>
  <si>
    <t>ELETRODUTOS</t>
  </si>
  <si>
    <t>15.8.1</t>
  </si>
  <si>
    <t>15.8.2</t>
  </si>
  <si>
    <t>ELETRODUTO RÍGIDO ROSCÁVEL, PVC, DN 32 MM (1"), PARA CIRCUITOS TERMINAIS, INSTALADO EM PAREDE - FORNECIMENTO E INSTALAÇÃO. AF_12/2015</t>
  </si>
  <si>
    <t>15.8.3</t>
  </si>
  <si>
    <t>ELETRODUTO RÍGIDO ROSCÁVEL, PVC, DN 40 MM (1 1/4"), PARA CIRCUITOS TERMINAIS, INSTALADO EM PAREDE - FORNECIMENTO E INSTALAÇÃO. AF_12/2015</t>
  </si>
  <si>
    <t>15.8.4</t>
  </si>
  <si>
    <t>ELETRODUTO RÍGIDO ROSCÁVEL, PVC, DN 50 MM (1 1/2") - FORNECIMENTO E INSTALAÇÃO. AF_12/2015</t>
  </si>
  <si>
    <t>15.8.5</t>
  </si>
  <si>
    <t>ELETRODUTO RÍGIDO ROSCÁVEL, PVC, DN 60 MM (2") - FORNECIMENTO E INSTALAÇÃO. AF_12/2015</t>
  </si>
  <si>
    <t>15.8.6</t>
  </si>
  <si>
    <t>15.8.7</t>
  </si>
  <si>
    <t>Duto corrugado flexível em PEAD Ø = 1.1/4</t>
  </si>
  <si>
    <t>15.8.8</t>
  </si>
  <si>
    <t>Duto corrugado flexível em PEAD Ø = 4", tipo Kanalex ou similar, lançado diretamente no solo, exclusive escavação e reaterro</t>
  </si>
  <si>
    <t>15.8.9</t>
  </si>
  <si>
    <t>ELETRODUTO DE AÇO GALVANIZADO, CLASSE LEVE, DN 20 MM (3/4), APARENTE, INSTALADO EM PAREDE - FORNECIMENTO E INSTALAÇÃO. AF_11/2016_P (alimentação das condensadoras na cobertura)</t>
  </si>
  <si>
    <t>15.9</t>
  </si>
  <si>
    <t>ELETROCALHAS</t>
  </si>
  <si>
    <t>15.9.1</t>
  </si>
  <si>
    <t>Fornecimento e instalação de eletrocalha perfurada 200 x  50 x 3000 mm , com tampa (ref. mopa ou similar) (Adaptada ORSE 4533)</t>
  </si>
  <si>
    <t>15.9.2</t>
  </si>
  <si>
    <t>Fornecimento e instalação de eletrocalha perfurada 300 x  50 x 3000 mm, com tampa (ref. mopa ou similar) (Adaptada ORSE 3399)</t>
  </si>
  <si>
    <t>15.10</t>
  </si>
  <si>
    <t>ACESSÓRIOS GERAIS PARA ELETROCALHAS</t>
  </si>
  <si>
    <t>15.10.1</t>
  </si>
  <si>
    <t>Emenda interna 200 x 50 mm, para eletrocalha perfurada, com angulo 90º (ref. Mopa ou similar) (Adaptada ORSE 83570)</t>
  </si>
  <si>
    <t>15.10.2</t>
  </si>
  <si>
    <t>TERMINAL 200 X 50 PARA ELETROCALHA GALVANIZADA (Adaptada ORSE 9989)</t>
  </si>
  <si>
    <t>15.10.3</t>
  </si>
  <si>
    <t>EMENDA INTERNA PARA ELETROCALHA GALVANIZADA, 300 X 50 (Adaptada ORSE 8357)</t>
  </si>
  <si>
    <t>15.10.4</t>
  </si>
  <si>
    <t>Tê horizontal 300 x 50mm para eletrocalha metálica (Adaptada ORSE 7143)</t>
  </si>
  <si>
    <t>15.10.5</t>
  </si>
  <si>
    <t>REDUÇÃO CONCÊNTRICA (300X50 P/ 200X50MM), PARA ELETROCALHA GALVANIZADA (Adaptada ORSE 8783)</t>
  </si>
  <si>
    <t>15.10.6</t>
  </si>
  <si>
    <t>Fornecimento e instalação de saída horizontal para eletroduto 3/4" (ref. vl 33 valemam ou similar)</t>
  </si>
  <si>
    <t>15.10.7</t>
  </si>
  <si>
    <t>Fornecimento e instalação de saída horizontal para eletroduto 1" (ref. vl 33 valemam ou similar)</t>
  </si>
  <si>
    <t>15.10.8</t>
  </si>
  <si>
    <t>Fornecimento e instalação de saída horizontal para eletroduto 1 1/4" (ref. vl 33 valemam ou similar)</t>
  </si>
  <si>
    <t>15.10.9</t>
  </si>
  <si>
    <t>Fornecimento e instalação de saída horizontal para eletroduto 1 1/2" (ref. vl 33 valemam ou similar)</t>
  </si>
  <si>
    <t>15.11</t>
  </si>
  <si>
    <t>ACESSÓRIOS DE FIXAÇÃO (ELETRODUTOS, ELETROCALHAS E PERFILADOS)</t>
  </si>
  <si>
    <t>15.11.1</t>
  </si>
  <si>
    <t>Fixação de Eletrodutos (Material e Mão-de-obra)</t>
  </si>
  <si>
    <t>15.11.2</t>
  </si>
  <si>
    <t>Fixação de Eletrocalhas (Material e Mão-de-obra)</t>
  </si>
  <si>
    <t>15.11.3</t>
  </si>
  <si>
    <t>Suporte vertical  200 x 50 mm  para fixação de eletrocalha metálica (Adaptada ORSE 8695)</t>
  </si>
  <si>
    <t>15.11.4</t>
  </si>
  <si>
    <t>Suporte vertical  300 x 50 mm  para fixação de eletrocalha metálica (Adaptada ORSE 8695)</t>
  </si>
  <si>
    <t>15.11.5</t>
  </si>
  <si>
    <t>Abraçadeira metálica tipo "D" de 3/4" (Fixação eletroduto alimentação condensadoras na cobertura)</t>
  </si>
  <si>
    <t>15.12</t>
  </si>
  <si>
    <t>CONDULETES</t>
  </si>
  <si>
    <t>15.12.1</t>
  </si>
  <si>
    <t>CONDULETE DE ALUMÍNIO, TIPO C, PARA ELETRODUTO DE AÇO GALVANIZADO DN 20 MM (3/4</t>
  </si>
  <si>
    <t>15.12.2</t>
  </si>
  <si>
    <t>CONDULETE DE ALUMÍNIO, TIPO LR, PARA ELETRODUTO DE AÇO GALVANIZADO DN 20 MM (3/4</t>
  </si>
  <si>
    <t>15.12.3</t>
  </si>
  <si>
    <t>CONDULETE DE ALUMÍNIO, TIPO T, PARA ELETRODUTO DE AÇO GALVANIZADO DN 20 MM (3/4</t>
  </si>
  <si>
    <t>15.12.4</t>
  </si>
  <si>
    <t>Condulete em alumínio tipo ll de 3/4"</t>
  </si>
  <si>
    <t>15.12.5</t>
  </si>
  <si>
    <t>Condulete em alumínio tipo lb de 3/4"</t>
  </si>
  <si>
    <t>15.12.6</t>
  </si>
  <si>
    <t>Ponto de força para condensadora (condulete, box e sealtubo)</t>
  </si>
  <si>
    <t>15.13</t>
  </si>
  <si>
    <t>CAIXAS DE PASSAGEM</t>
  </si>
  <si>
    <t>15.13.1</t>
  </si>
  <si>
    <t>CAIXA RETANGULAR 4" X 4" BAIXA (0,30 M DO PISO), PVC, INSTALADA EM PAREDE - FORNECIMENTO E INSTALAÇÃO. AF_12/2015</t>
  </si>
  <si>
    <t>15.13.2</t>
  </si>
  <si>
    <t>CAIXA OCTOGONAL 4" X 4", PVC, INSTALADA EM LAJE - FORNECIMENTO E INSTALAÇÃO. AF_12/2015</t>
  </si>
  <si>
    <t>15.13.3</t>
  </si>
  <si>
    <t>CAIXA RETANGULAR 4" X 2", PVC, INSTALADA EM PAREDE - FORNECIMENTO E INSTALAÇÃO. AF_12/2015 (Tomadas e interruptores)</t>
  </si>
  <si>
    <t>15.13.4</t>
  </si>
  <si>
    <t>CAIXA RETANGULAR 4" X 2" ALTA (2,00 M DO PISO), PVC, INSTALADA EM PAREDE - FORNECIMENTO E INSTALAÇÃO. AF_12/2015 (Arandelas)</t>
  </si>
  <si>
    <t>15.13.5</t>
  </si>
  <si>
    <t>CAIXA DE PASSAGEM METÁLICA 15X15X10CM DE SOBREPOR FORNECIMENTO E INSTALACAO (Adaptada SINAPI 83366)</t>
  </si>
  <si>
    <t>15.13.6</t>
  </si>
  <si>
    <t>CAIXA DE PASSAGEM EM CHAPA DE AÇO, EMBUTIR 153 X 153 X 82 MM (Adaptada)</t>
  </si>
  <si>
    <t>15.13.7</t>
  </si>
  <si>
    <t>CAIXA DE PASSAGEM EM CHAPA METÁLICA COM TAMPA PARAFUSADA - 30X30X12CM</t>
  </si>
  <si>
    <t>15.13.8</t>
  </si>
  <si>
    <t>CAIXA DE PASSAGEM METÁLICA 40X40X15CM  FORNECIMENTO E INSTALACAO (Adaptado SINAPI 83366)</t>
  </si>
  <si>
    <t>15.13.9</t>
  </si>
  <si>
    <t>CAIXA DE PASSAGEM METÁLICA DE EMBUTIR  40X40X15 CM (Adaptada AGETOP CIVIL 070648)</t>
  </si>
  <si>
    <t>15.13.10</t>
  </si>
  <si>
    <t>Caixa de passagem em alvenaria de tijolos maciços esp. = 0,12m,  dim. int. =  0,30 x 0,30 x 0,40m</t>
  </si>
  <si>
    <t>15.13.11</t>
  </si>
  <si>
    <t>Caixa de passagem em alvenaria de tijolos maciços esp. = 0,12m,  dim. int. =  0.40 x 0.40 x 0.40m</t>
  </si>
  <si>
    <t>15.13.12</t>
  </si>
  <si>
    <t>CAIXA ENTERRADA PARA INSTALACOES, 1,30X1,20X1,20M EM BLOCOS DE CONCRETO ESTRUTURAL</t>
  </si>
  <si>
    <t>15.13.13</t>
  </si>
  <si>
    <t>FURO EM CONCRETO PARA DIÂMETROS MAIORES QUE 40 MM E MENORES OU IGUAIS A 75 MM. AF_05/2015</t>
  </si>
  <si>
    <t>16</t>
  </si>
  <si>
    <t>CABEAMENTO ESTRUTURADO</t>
  </si>
  <si>
    <t>16.1</t>
  </si>
  <si>
    <t>RACK</t>
  </si>
  <si>
    <t>16.1.1</t>
  </si>
  <si>
    <t>Fornecimento e montagem de rack fechado tipo armário 19" x 44u x 670mm</t>
  </si>
  <si>
    <t>16.1.2</t>
  </si>
  <si>
    <t>ORGANIZADOR DE CABOS HORIZONTAL, ABERTO, PADRÃO RACK 19"</t>
  </si>
  <si>
    <t>16.1.3</t>
  </si>
  <si>
    <t>Organizador vertical de cabos 44U</t>
  </si>
  <si>
    <t>16.2</t>
  </si>
  <si>
    <t>PAINÉIS E EQUIPAMENTOS</t>
  </si>
  <si>
    <t>16.2.1</t>
  </si>
  <si>
    <t>BLOCO IDC-100 PARES INTERNO, IDC-IDC, PADRÃO 19"</t>
  </si>
  <si>
    <t>16.2.2</t>
  </si>
  <si>
    <t>Fornecimento e instalação de path panel com 24 portas cat.6</t>
  </si>
  <si>
    <t>16.2.3</t>
  </si>
  <si>
    <t>Abraçadeira Plástica 3,6x150mm</t>
  </si>
  <si>
    <t>16.2.4</t>
  </si>
  <si>
    <t>PARAFUSO E PORCA GAIOLA  (Adaptada AGETOP CIVIL 071838)</t>
  </si>
  <si>
    <t>16.2.5</t>
  </si>
  <si>
    <t>Fornecimento e instalação de voice panel 24 portas cat 6</t>
  </si>
  <si>
    <t>16.2.6</t>
  </si>
  <si>
    <t>Bandeja fixa para rack, 19´ x 500 mm</t>
  </si>
  <si>
    <t>16.2.7</t>
  </si>
  <si>
    <t>Régua (filtro de linha) com 8 tomadas</t>
  </si>
  <si>
    <t>16.3</t>
  </si>
  <si>
    <t>BACKBONE DE TELEFONIA</t>
  </si>
  <si>
    <t>16.3.1</t>
  </si>
  <si>
    <t>QUADRO DE DISTRIBUICAO PARA TELEFONE N.5, 80X80X12CM EM CHAPA METALICA, SEM ACESSORIOS, PADRAO TELEBRAS, FORNECIMENTO E INSTALACAO</t>
  </si>
  <si>
    <t>16.3.2</t>
  </si>
  <si>
    <t>Bloco terminal para telefone - 10 pares</t>
  </si>
  <si>
    <t>16.4</t>
  </si>
  <si>
    <t>ESPELHOS E CONECTORES</t>
  </si>
  <si>
    <t>16.4.1</t>
  </si>
  <si>
    <t>CAIXA RETANGULAR 4" X 2" BAIXA (0,30 M DO PISO), PVC, INSTALADA EM PAREDE - FORNECIMENTO E INSTALAÇÃO. AF_12/2015</t>
  </si>
  <si>
    <t>16.4.2</t>
  </si>
  <si>
    <t>CONDULETE DE ALUMÍNIO, TIPO C, PARA ELETRODUTO DE AÇO GALVANIZADO DN 20 MM (3/4''), APARENTE - FORNECIMENTO E INSTALAÇÃO. AF_11/2016_P</t>
  </si>
  <si>
    <t>16.4.3</t>
  </si>
  <si>
    <t>Fornecimento e instalação de espelho para caixa vertical 4" x 2" com 02 saídas rj-45 (krone ou similar)</t>
  </si>
  <si>
    <t>16.4.4</t>
  </si>
  <si>
    <t>Fornecimento e instalação de espelho para caixa 4" x 2" com 01 saída rj-45</t>
  </si>
  <si>
    <t>16.4.5</t>
  </si>
  <si>
    <t>Fornecimento e instalação de conector rj 45 fêmea cat 6 (krone ou similar)</t>
  </si>
  <si>
    <t>16.5</t>
  </si>
  <si>
    <t>16.5.1</t>
  </si>
  <si>
    <t>CABO UTP-4P, CAT. 6 , 24 AWG</t>
  </si>
  <si>
    <t>16.5.2</t>
  </si>
  <si>
    <t>ADAPTER CABLE, CATEGORIA "6" DE 2,50m</t>
  </si>
  <si>
    <t>16.5.3</t>
  </si>
  <si>
    <t>CERTIFICAÇÃO DE GARANTIA DE TRANSMISSÃO DE CABOS LÓGICOS - CATEGORIA 6E</t>
  </si>
  <si>
    <t>16.6</t>
  </si>
  <si>
    <t>16.6.1</t>
  </si>
  <si>
    <t>Fornecimento e instalação de eletrocalha perfurada 100 x   50 x 3000 mm (ref. mopa ou similar) com tampa</t>
  </si>
  <si>
    <t>16.6.2</t>
  </si>
  <si>
    <t>Fornecimento e instalação de eletrocalha perfurada 200 x 100 x 3000 mm (ref. mopa ou similar), com tampa (Adaptada ORSE 763)</t>
  </si>
  <si>
    <t>16.7</t>
  </si>
  <si>
    <t>ACESSÓRIOS PARA ELETROCALHAS</t>
  </si>
  <si>
    <t>16.7.1</t>
  </si>
  <si>
    <t>Emenda interna 100 x 50 mm com base lisa perfurada para eletrocalha metálica (ref. Mopa ou similar)</t>
  </si>
  <si>
    <t>16.7.2</t>
  </si>
  <si>
    <t>Terminal 100 x 50 mm para eletrocalha metalica (ref. Mopa ou similar)</t>
  </si>
  <si>
    <t>16.7.3</t>
  </si>
  <si>
    <t>"T" HORIZONTAL 90º 100X50MM (Adaptada ORSE 7878)</t>
  </si>
  <si>
    <t>16.7.4</t>
  </si>
  <si>
    <t>Curva vertical 200 x 100 mm para eletrocalha metálica, com ângulo 90° (ref.: mopa ou similar)</t>
  </si>
  <si>
    <t>16.7.5</t>
  </si>
  <si>
    <t>Tê horizontal 200 x 100 mm para eletrocalha metálica  (ref.: mopa ou similar)</t>
  </si>
  <si>
    <t>16.7.6</t>
  </si>
  <si>
    <t>REDUÇÃO CONCÊNTRICA 200&amp;gt;100X50 (Adaptada ORSE 7878)</t>
  </si>
  <si>
    <t>16.7.7</t>
  </si>
  <si>
    <t>16.7.8</t>
  </si>
  <si>
    <t>16.7.9</t>
  </si>
  <si>
    <t>16.7.10</t>
  </si>
  <si>
    <t>16.7.11</t>
  </si>
  <si>
    <t>Suporte vertical  100 x 50 mm  para fixação de eletrocalha metálica ( ref.: Mopa ou similar)</t>
  </si>
  <si>
    <t>16.7.12</t>
  </si>
  <si>
    <t>Suporte vertical  200 x 100 mm  para fixação de eletrocalha metálica (Adaptada ORSE 8695)</t>
  </si>
  <si>
    <t>16.7.13</t>
  </si>
  <si>
    <t>Fixação de Eletrocalhas (Material e Mão-de-obra) (Adaptada SINAPI 95541)</t>
  </si>
  <si>
    <t>16.8</t>
  </si>
  <si>
    <t>ELETRODUTOS E CONEXÕES DE PVC</t>
  </si>
  <si>
    <t>16.8.1</t>
  </si>
  <si>
    <t>16.8.2</t>
  </si>
  <si>
    <t>16.8.3</t>
  </si>
  <si>
    <t>16.8.4</t>
  </si>
  <si>
    <t>CURVA 90 GRAUS PARA ELETRODUTO, PVC, ROSCÁVEL, DN 25 MM (3/4"), PARA CIRCUITOS TERMINAIS, INSTALADA EM PAREDE - FORNECIMENTO E INSTALAÇÃO. AF_12/2015</t>
  </si>
  <si>
    <t>16.8.5</t>
  </si>
  <si>
    <t>CURVA 90 GRAUS PARA ELETRODUTO, PVC, ROSCÁVEL, DN 32 MM (1"), PARA CIRCUITOS TERMINAIS, INSTALADA EM PAREDE - FORNECIMENTO E INSTALAÇÃO. AF_12/2015</t>
  </si>
  <si>
    <t>16.8.6</t>
  </si>
  <si>
    <t>CURVA 90 GRAUS PARA ELETRODUTO, PVC, ROSCÁVEL, DN 40 MM (1 1/4"), PARA CIRCUITOS TERMINAIS, INSTALADA EM PAREDE - FORNECIMENTO E INSTALAÇÃO. AF_12/2015</t>
  </si>
  <si>
    <t>16.8.7</t>
  </si>
  <si>
    <t>CURVA 90 GRAUS PARA ELETRODUTO, PVC, ROSCÁVEL, DN 60 MM (2") - FORNECIMENTO E INSTALAÇÃO. AF_12/2015</t>
  </si>
  <si>
    <t>16.8.8</t>
  </si>
  <si>
    <t>16.8.9</t>
  </si>
  <si>
    <t>LASTRO DE VALA COM PREPARO DE FUNDO, LARGURA MENOR QUE 1,5 M, COM CAMADA DE AREIA, LANÇAMENTO MANUAL, EM LOCAL COM NÍVEL BAIXO DE INTERFERÊNCIA. AF_06/2016</t>
  </si>
  <si>
    <t>16.8.10</t>
  </si>
  <si>
    <t>ELETRODUTO RÍGIDO ROSCÁVEL, PVC, DN 32 MM (1"), PARA CIRCUITOS TERMINAIS, INSTALADO EM LAJE - FORNECIMENTO E INSTALAÇÃO. AF_12/2015 (Trecho enterrado)</t>
  </si>
  <si>
    <t>16.8.11</t>
  </si>
  <si>
    <t>ELETRODUTO RÍGIDO ROSCÁVEL, PVC, DN 60 MM (2") - FORNECIMENTO E INSTALAÇÃO. AF_12/2015 (Trecho enterrado)</t>
  </si>
  <si>
    <t>16.8.12</t>
  </si>
  <si>
    <t>16.8.13</t>
  </si>
  <si>
    <t>16.8.14</t>
  </si>
  <si>
    <t>16.9</t>
  </si>
  <si>
    <t>ELETRODUTOS E CONEXÕES GALVANIZADAS</t>
  </si>
  <si>
    <t>16.9.1</t>
  </si>
  <si>
    <t>ELETRODUTO DE AÇO GALVANIZADO, CLASSE LEVE, DN 20 MM (3/4), APARENTE, INSTALADO EM TETO - FORNECIMENTO E INSTALAÇÃO. AF_11/2016_P</t>
  </si>
  <si>
    <t>16.9.2</t>
  </si>
  <si>
    <t>ELETRODUTO DE AÇO GALVANIZADO, CLASSE LEVE, DN 25 MM (1), APARENTE, INSTALADO EM TETO - FORNECIMENTO E INSTALAÇÃO. AF_11/2016_P</t>
  </si>
  <si>
    <t>16.9.3</t>
  </si>
  <si>
    <t>ELETRODUTO DE AÇO GALVANIZADO, CLASSE SEMI PESADO, DN 32 MM (1 1/4), APARENTE, INSTALADO EM TETO - FORNECIMENTO E INSTALAÇÃO. AF_11/2016_P</t>
  </si>
  <si>
    <t>16.9.4</t>
  </si>
  <si>
    <t>ELETRODUTO DE AÇO GALVANIZADO, CLASSE SEMI PESADO, DN 40 MM (1 1/2 ), APARENTE, INSTALADO EM TETO - FORNECIMENTO E INSTALAÇÃO. AF_11/2016_P</t>
  </si>
  <si>
    <t>16.10</t>
  </si>
  <si>
    <t>ACESSÓRIOS PARA ELETRODUTO GALVANIZADO</t>
  </si>
  <si>
    <t>16.10.1</t>
  </si>
  <si>
    <t>Fixação de Eletrodutos (Material e Mão-de-obra) (Adaptada SINAPI 95541)</t>
  </si>
  <si>
    <t>16.11</t>
  </si>
  <si>
    <t>CAIXAS DE INSPEÇÃO E PASSAGEM</t>
  </si>
  <si>
    <t>16.11.1</t>
  </si>
  <si>
    <t>16.11.2</t>
  </si>
  <si>
    <t>16.11.3</t>
  </si>
  <si>
    <t>16.11.4</t>
  </si>
  <si>
    <t>CAIXA DE PASSAGEM EM CHAPA DE AÇO, EMBUTIR 230 X 230 X 102 MM (Adaptada)</t>
  </si>
  <si>
    <t>16.11.5</t>
  </si>
  <si>
    <t>CAIXA DE PASSAGEM METÁLICA 40X40X15CM  DE SOBREPOR FORNECIMENTO E INSTALACAO (Adaptado SINAPI 83366)</t>
  </si>
  <si>
    <t>16.11.6</t>
  </si>
  <si>
    <t>CAIXA RETANGULAR 4" X 2" MÉDIA (1,30 M DO PISO), PVC, INSTALADA EM PAREDE - FORNECIMENTO E INSTALAÇÃO. AF_12/2015</t>
  </si>
  <si>
    <t>16.11.7</t>
  </si>
  <si>
    <t>CAIXA DE INSPEÇÃO EM ALVENARIA DE TIJOLO MACIÇO 60X60X60CM, REVESTIDA INTERNAMENTO COM BARRA LISA (CIMENTO E AREIA, TRAÇO 1:4) E=2,0CM, COM TAMPA PRÉ-MOLDADA DE CONCRETO E FUNDO DE CONCRETO 15MPA TIPO C - ESCAVAÇÃO E CONFECÇÃO</t>
  </si>
  <si>
    <t>16.11.8</t>
  </si>
  <si>
    <t>16.12</t>
  </si>
  <si>
    <t>INFRAESTRUTURA EXTERNA - ENTRADA CONCESSIONÁRIA</t>
  </si>
  <si>
    <t>16.12.1</t>
  </si>
  <si>
    <t>Cabeçote de alumínio de 3"</t>
  </si>
  <si>
    <t>16.12.2</t>
  </si>
  <si>
    <t>ARAME GALVANIZADO 14 BWG - FORNECIMENTO E INSTALAÇÃO</t>
  </si>
  <si>
    <t>16.12.3</t>
  </si>
  <si>
    <t>Eletroduto de F°G° pesado, 3"</t>
  </si>
  <si>
    <t>16.12.4</t>
  </si>
  <si>
    <t>Curva para eletroduto galvanizado, diâm = 3"</t>
  </si>
  <si>
    <t>17</t>
  </si>
  <si>
    <t>SISTEMA DE PROTEÇÃO CONTRA DESCARGAS ATMOSFÉRICAS - SPDA</t>
  </si>
  <si>
    <t>17.1</t>
  </si>
  <si>
    <t>CAIXA DE INSPEÇÃO DE ATERRAMENTO TIPO SOLO DE TUBO EM  PVC Ø300MM H=300MM</t>
  </si>
  <si>
    <t>17.2</t>
  </si>
  <si>
    <t>17.3</t>
  </si>
  <si>
    <t>HASTE DE ATERRAMENTO EM AÇO COM 3,00 M DE COMPRIMENTO E DN = 5/8" REVESTIDA COM BAIXA CAMADA DE COBRE, SEM CONECTOR</t>
  </si>
  <si>
    <t>17.4</t>
  </si>
  <si>
    <t>Caixa de equipotencialização em aço 400x400x155mm, para embutir com tampa, com 9 terminais, ref:TEL-901 ou similar (SPDA)</t>
  </si>
  <si>
    <t>17.5</t>
  </si>
  <si>
    <t>CABO DE COBRE NU 35MM2 - FORNECIMENTO E INSTALACAO</t>
  </si>
  <si>
    <t>17.6</t>
  </si>
  <si>
    <t>CABO DE COBRE NU 16MM2 - FORNECIMENTO E INSTALACAO</t>
  </si>
  <si>
    <t>17.7</t>
  </si>
  <si>
    <t>17.8</t>
  </si>
  <si>
    <t>CABO DE COBRE NU 70MM2 - FORNECIMENTO E INSTALACAO</t>
  </si>
  <si>
    <t>17.9</t>
  </si>
  <si>
    <t>Fornecimento de cartucho para solda exotérmica para cabo 50 mm²</t>
  </si>
  <si>
    <t>17.10</t>
  </si>
  <si>
    <t>RE-BAR AÇO GALVANIZADO A FOGO 3/8" INSTALADO EM PILAR OU VIGA DA ESTRUTURA, INCLUSIVE CLIPS GALVANIZADO</t>
  </si>
  <si>
    <t>17.11</t>
  </si>
  <si>
    <t>Fornecimento de molde de solda exotérmica tipo "X" para cabo 50 mm²</t>
  </si>
  <si>
    <t>17.12</t>
  </si>
  <si>
    <t>Fornecimento e instalação de caixa de passagem 20x20x12cm em chapa galvanizada</t>
  </si>
  <si>
    <t>17.13</t>
  </si>
  <si>
    <t>Presilha de latão, L=20mm, para fixação de cabos de cobre, furo d=5mm, para cabos 35mm² a 50mm², ref:TEL-744 ou similar (SPDA)</t>
  </si>
  <si>
    <t>17.14</t>
  </si>
  <si>
    <t>CONECTOR PARAFUSO FENDIDO SPLIT-BOLT - PARA CABO DE 35MM2 - FORNECIMENTO E INSTALACAO</t>
  </si>
  <si>
    <t>17.15</t>
  </si>
  <si>
    <t>TERMINAL METALICO A PRESSAO PARA 1 CABO DE 50 MM2 - FORNECIMENTO E INSTALACAO</t>
  </si>
  <si>
    <t>17.16</t>
  </si>
  <si>
    <t>TERMINAL METALICO A PRESSAO PARA 1 CABO DE 16 MM2 - FORNECIMENTO E INSTALACAO - ADAPTADA SINAPI (73782/002)</t>
  </si>
  <si>
    <t>17.17</t>
  </si>
  <si>
    <t>Conector em latão tipo minigar para cabos 16 - 50 mm² (SPDA)</t>
  </si>
  <si>
    <t>17.18</t>
  </si>
  <si>
    <t>TERMINAL METALICO A PRESSAO PARA 1 CABO DE 70 MM2 - FORNECIMENTO E INSTALACAO - ADAPTADA SINAPI (73782/002)</t>
  </si>
  <si>
    <t>17.19</t>
  </si>
  <si>
    <t>Bucha de nylon nº08, ref:TEL-5306 - SPDA (fornecimento)</t>
  </si>
  <si>
    <t>17.20</t>
  </si>
  <si>
    <t>Parafuso auto-atarraxante em aço inox - 4,2 x 32mm - fornecimento e colocação</t>
  </si>
  <si>
    <t>17.21</t>
  </si>
  <si>
    <t>SILICONE ACETICO USO GERAL INCOLOR 280 G</t>
  </si>
  <si>
    <t>17.22</t>
  </si>
  <si>
    <t>Pára-raio tipo Franklin 350mm, latão cromado, para descida 1 cabo, c/suporte e conectores p/cabo terra,  inclusive mastro aço galv 3mx2" e base</t>
  </si>
  <si>
    <t>17.23</t>
  </si>
  <si>
    <t>Sinalizador duplo (luz de topo) c/relé fotocelula, exceto fiação</t>
  </si>
  <si>
    <t>17.24</t>
  </si>
  <si>
    <t>ELETRODUTO RÍGIDO ROSCÁVEL, PVC, DN 25 MM (3/4"), PARA CIRCUITOS TERMINAIS, INSTALADO EM FORRO - FORNECIMENTO E INSTALAÇÃO. AF_12/2015</t>
  </si>
  <si>
    <t>17.25</t>
  </si>
  <si>
    <t>BASE EM CONCRETO 20x20x30CM</t>
  </si>
  <si>
    <t>18</t>
  </si>
  <si>
    <t>CLIMATIZAÇÃO</t>
  </si>
  <si>
    <t>18.1</t>
  </si>
  <si>
    <t>APARELHOS DE AR CONDICIONADO</t>
  </si>
  <si>
    <t>18.1.1</t>
  </si>
  <si>
    <t>FORNECIMENTO E INSTALAÇÃO DE CONDICIONADOR DE AR TIPO SPLIT 9.000 BTU/H</t>
  </si>
  <si>
    <t>18.1.2</t>
  </si>
  <si>
    <t>FORNECIMENTO E INSTALAÇÃO DE CONDICIONADOR DE AR TIPO SPLIT 12.000 BTU/H</t>
  </si>
  <si>
    <t>18.1.3</t>
  </si>
  <si>
    <t>FORNECIMENTO E INSTALAÇÃO DE CONDICIONADOR DE AR TIPO SPLIT 18.000 BTU/H</t>
  </si>
  <si>
    <t>18.1.4</t>
  </si>
  <si>
    <t>FORNECIMENTO E INSTALAÇÃO DE CONDICIONADOR DE AR TIPO CASSETE 24.000 BTU/H, INCLUSIVE FIXAÇÃO EM TETO</t>
  </si>
  <si>
    <t>18.1.5</t>
  </si>
  <si>
    <t>FORNECIMENTO E INSTALAÇÃO DE CONDICIONADOR DE AR TIPO PISO TETO 30.000 BTU/H, INCLUSIVE FIXAÇÃO EM TETO</t>
  </si>
  <si>
    <t>18.1.6</t>
  </si>
  <si>
    <t>Cortina de ar com duas velocidades, para vão de 1,20 m</t>
  </si>
  <si>
    <t>cj</t>
  </si>
  <si>
    <t>18.2</t>
  </si>
  <si>
    <t>TUBULAÇÕES FRIGORÍFICAS</t>
  </si>
  <si>
    <t>18.2.1</t>
  </si>
  <si>
    <t>TUBULAÇÃO FRIGORÍGENA (ADICIONAL A 3 M) 1/4" E 1/2" C/ ISOLAMENTO ESPONJOSO E CABO DE COBRE PP</t>
  </si>
  <si>
    <t>18.2.2</t>
  </si>
  <si>
    <t>TUBULAÇÃO FRIGORÍGENA (ADICIONAL A 5 M) 3/8" E 5/8" C/ ISOLAMENTO ESPONJOSO E CABO DE COBRE PP</t>
  </si>
  <si>
    <t>18.2.3</t>
  </si>
  <si>
    <t>TUBULAÇÃO FRIGORÍGENA (METROS ADICIONAIS) 1/4" E 5/8" C/ ISOLAMENTO ESPONJOSO E CABO DE COBRE PP</t>
  </si>
  <si>
    <t>18.3</t>
  </si>
  <si>
    <t>DRENOS</t>
  </si>
  <si>
    <t>18.3.1</t>
  </si>
  <si>
    <t>TUBO, PVC, SOLDÁVEL, DN 25MM, INSTALADO EM DRENO DE AR-CONDICIONADO - FORNECIMENTO E INSTALAÇÃO. AF_12/2014</t>
  </si>
  <si>
    <t>18.3.2</t>
  </si>
  <si>
    <t>JOELHO 45 GRAUS, PVC, SOLDÁVEL, DN 25MM, INSTALADO EM DRENO DE AR-CONDICIONADO - FORNECIMENTO E INSTALAÇÃO. AF_12/2014</t>
  </si>
  <si>
    <t>18.3.3</t>
  </si>
  <si>
    <t>JOELHO 90 GRAUS, PVC, SOLDÁVEL, DN 25MM, INSTALADO EM DRENO DE AR-CONDICIONADO - FORNECIMENTO E INSTALAÇÃO. AF_12/2014</t>
  </si>
  <si>
    <t>18.3.4</t>
  </si>
  <si>
    <t>LUVA, PVC, SOLDÁVEL, DN 25MM, INSTALADO EM DRENO DE AR-CONDICIONADO - FORNECIMENTO E INSTALAÇÃO. AF_12/2014</t>
  </si>
  <si>
    <t>18.3.5</t>
  </si>
  <si>
    <t>TE, PVC, SOLDÁVEL, DN 25MM, INSTALADO EM DRENO DE AR-CONDICIONADO - FORNECIMENTO E INSTALAÇÃO. AF_12/2014</t>
  </si>
  <si>
    <t>18.3.6</t>
  </si>
  <si>
    <t>CAIXA DE DRENO 30X30X40 COM TAMPA E FUNDO COM BRITA</t>
  </si>
  <si>
    <t>18.3.7</t>
  </si>
  <si>
    <t>RASGO EM ALVENARIA PARA RAMAIS/ DISTRIBUIÇÃO COM DIAMETROS MENORES OU IGUAIS A 40 MM. AF_05/2015</t>
  </si>
  <si>
    <t>18.4</t>
  </si>
  <si>
    <t>OUTROS ITENS PARA SPLIT</t>
  </si>
  <si>
    <t>18.4.1</t>
  </si>
  <si>
    <t>CALÇOS DE BORRACHA DOS CONDENSADORES</t>
  </si>
  <si>
    <t>18.4.2</t>
  </si>
  <si>
    <t>FURO EM CONCRETO PARA DIÂMETROS MAIORES QUE 75 MM. AF_05/2015</t>
  </si>
  <si>
    <t>18.4.3</t>
  </si>
  <si>
    <t>18.4.4</t>
  </si>
  <si>
    <t>CAIXA POLAR PARA SPLIT HI-WALL INSTALADA EM PAREDE - FORNECIMENTO E INSTALAÇÃO. - ADAPTADA SINAPI (91942)</t>
  </si>
  <si>
    <t>18.4.5</t>
  </si>
  <si>
    <t>KIT PARA FIXAÇÃO DA EVAPORADORA TIPO CASSETE NA LAJE (Fornecimento e instalação)</t>
  </si>
  <si>
    <t>18.4.6</t>
  </si>
  <si>
    <t>BASE EM CONCRETO 50x20x20CM</t>
  </si>
  <si>
    <t>18.5</t>
  </si>
  <si>
    <t>RENOVAÇÃO DE AR</t>
  </si>
  <si>
    <t>18.5.1</t>
  </si>
  <si>
    <t>TUBO PLÁSTICO FLEXÍVEL PARA CONDUÇÃO DE AR 100MM (Adaptada ORSE 9240)</t>
  </si>
  <si>
    <t>18.5.2</t>
  </si>
  <si>
    <t>TUBO PLÁSTICO FLEXÍVEL PARA CONDUÇÃO DE AR 150MM (Adaptada ORSE 9240)</t>
  </si>
  <si>
    <t>18.5.3</t>
  </si>
  <si>
    <t>DIFUSOR REGULÁVEL Ø100MM (Fornecimento e Instalação)</t>
  </si>
  <si>
    <t>18.5.4</t>
  </si>
  <si>
    <t>Veneziana Autofechante 150mm</t>
  </si>
  <si>
    <t>18.5.5</t>
  </si>
  <si>
    <t>VENTOKIT AQUARELLA 280, completo (Fornecimento e instalação)</t>
  </si>
  <si>
    <t>18.5.6</t>
  </si>
  <si>
    <t>MINI-CENTRAL DE RENOVAÇÃO DE AR VENTOKIT (Fornecimento e instalação)</t>
  </si>
  <si>
    <t>18.5.7</t>
  </si>
  <si>
    <t>KIT PARA FIXAÇÃO DA MINI-CENTRAL DE RENOVAÇÃO DE AR (Fornecimento e instalação)</t>
  </si>
  <si>
    <t>19</t>
  </si>
  <si>
    <t>CIRCUITO FECHADO DE TV - CFTV</t>
  </si>
  <si>
    <t>19.1</t>
  </si>
  <si>
    <t>ELETRODUTOS E ACESSÓRIOS</t>
  </si>
  <si>
    <t>19.1.1</t>
  </si>
  <si>
    <t>19.1.2</t>
  </si>
  <si>
    <t>ELETRODUTO DE AÇO GALVANIZADO, CLASSE SEMI PESADO, DN 32 MM (1 1/4), APARENTE, INSTALADO EM PAREDE - FORNECIMENTO E INSTALAÇÃO. AF_11/2016_P</t>
  </si>
  <si>
    <t>19.1.3</t>
  </si>
  <si>
    <t>ELETRODUTO RÍGIDO ROSCÁVEL, PVC, DN 32 MM (1"), PARA CIRCUITOS TERMINAIS, INSTALADO EM PAREDE - FORNECIMENTO E INSTALAÇÃO. AF_12/2015 (Enterrado)</t>
  </si>
  <si>
    <t>19.1.4</t>
  </si>
  <si>
    <t>CURVA DE 90° PARA ELETRODUTO GALVANIZADO ∅1" (Adaptada ORSE 10806)</t>
  </si>
  <si>
    <t>19.1.5</t>
  </si>
  <si>
    <t>CURVA DE 90° PARA ELETRODUTO GALVANIZADO ∅1 1/4" (Adaptada ORSE 10806)</t>
  </si>
  <si>
    <t>19.1.6</t>
  </si>
  <si>
    <t>19.2</t>
  </si>
  <si>
    <t>CAIXAS E CONDULETES</t>
  </si>
  <si>
    <t>19.2.1</t>
  </si>
  <si>
    <t>19.2.2</t>
  </si>
  <si>
    <t>19.2.3</t>
  </si>
  <si>
    <t>Condulete em alumínio tipo "ll" de 1"</t>
  </si>
  <si>
    <t>19.2.4</t>
  </si>
  <si>
    <t>CONDULETE DE ALUMÍNIO, TIPO T, PARA ELETRODUTO DE AÇO GALVANIZADO DN 25 MM (1</t>
  </si>
  <si>
    <t>19.2.5</t>
  </si>
  <si>
    <t>CONDULETE DE ALUMÍNIO, TIPO C, PARA ELETRODUTO DE AÇO GALVANIZADO DN 25 MM (1''), APARENTE - FORNECIMENTO E INSTALAÇÃO. AF_11/2016_P</t>
  </si>
  <si>
    <t>19.2.6</t>
  </si>
  <si>
    <t>CONDULETE DE ALUMÍNIO, TIPO LR, PARA ELETRODUTO DE AÇO GALVANIZADO DN 25 MM (1</t>
  </si>
  <si>
    <t>19.3</t>
  </si>
  <si>
    <t>CABOS E ACESSÓRIOS</t>
  </si>
  <si>
    <t>19.3.1</t>
  </si>
  <si>
    <t>19.3.2</t>
  </si>
  <si>
    <t>19.4</t>
  </si>
  <si>
    <t>ACESSÓRIOS - PONTO ALIMENTAÇÃO CÂMERAS</t>
  </si>
  <si>
    <t>19.4.1</t>
  </si>
  <si>
    <t>19.4.2</t>
  </si>
  <si>
    <t>19.4.3</t>
  </si>
  <si>
    <t>19.4.4</t>
  </si>
  <si>
    <t>Poste telecônico reto em aço SAE 1010/1020 galvanizado a fogo, altura de 4,00 m</t>
  </si>
  <si>
    <t>20</t>
  </si>
  <si>
    <t>SONORIZAÇÃO E VÍDEO</t>
  </si>
  <si>
    <t>20.1</t>
  </si>
  <si>
    <t>SONARIZAÇÃO E VÍDEO</t>
  </si>
  <si>
    <t>20.1.1</t>
  </si>
  <si>
    <t>ELETRODUTO RÍGIDO ROSCÁVEL, PVC, DN 32 MM (1"), PARA CIRCUITOS TERMINAIS, INSTALADO EM FORRO - FORNECIMENTO E INSTALAÇÃO. AF_12/2015</t>
  </si>
  <si>
    <t>20.1.2</t>
  </si>
  <si>
    <t>20.1.3</t>
  </si>
  <si>
    <t>CAIXA OCTOGONAL 3" X 3", PVC, INSTALADA EM LAJE - FORNECIMENTO E INSTALAÇÃO. AF_12/2015</t>
  </si>
  <si>
    <t>20.1.4</t>
  </si>
  <si>
    <t>20.1.5</t>
  </si>
  <si>
    <t>CAIXA DE PASSAGEM METÁLICA 30X30X10CM  FORNECIMENTO E INSTALACAO (Adaptado SINAPI 83366)</t>
  </si>
  <si>
    <t>20.1.6</t>
  </si>
  <si>
    <t>CABO VGA</t>
  </si>
  <si>
    <t>20.1.7</t>
  </si>
  <si>
    <t>FORNECIMENTO E INSTALAÇÃO DE CABO PARA MICROFONE XLR COM 5 METROS</t>
  </si>
  <si>
    <t>20.1.8</t>
  </si>
  <si>
    <t>Fio polarizado 2 x 2,5mm2</t>
  </si>
  <si>
    <t>20.1.9</t>
  </si>
  <si>
    <t>Sonofletor de teto 15 watts/ 70 volts</t>
  </si>
  <si>
    <t>20.1.10</t>
  </si>
  <si>
    <t>Projetor Benq 3200 Lumens 1080p Full HD TH683 ou similar (Kabum!) - Fornecimento e Instalação</t>
  </si>
  <si>
    <t>20.1.11</t>
  </si>
  <si>
    <t>SUPORTE DE PROJETOR PARA TETO/PAREDE COM EXTENSÃO - SBRP 756B (Casa do Suporte) - Fornecimento e Instalação</t>
  </si>
  <si>
    <t>20.1.12</t>
  </si>
  <si>
    <t>CONJUNTO PARA 1 MICROFONE SEM FIO (Adaptada ORSE 8647)</t>
  </si>
  <si>
    <t>20.1.13</t>
  </si>
  <si>
    <t>Microfone com fio (Adaptada ORSE 8647)</t>
  </si>
  <si>
    <t>20.1.14</t>
  </si>
  <si>
    <t>Mesa De Som 8 Canais</t>
  </si>
  <si>
    <t>20.1.15</t>
  </si>
  <si>
    <t>Tela de Projeção Retrátil 2,00x2,00m até 110" - Sumay</t>
  </si>
  <si>
    <t>20.1.16</t>
  </si>
  <si>
    <t>20.2</t>
  </si>
  <si>
    <t>ANTENA COLETIVA</t>
  </si>
  <si>
    <t>20.2.1</t>
  </si>
  <si>
    <t>Cabo coaxial rgc 75 ohms</t>
  </si>
  <si>
    <t>20.2.2</t>
  </si>
  <si>
    <t>20.2.3</t>
  </si>
  <si>
    <t>CAIXA DE PASSAGEM GALVANIZADA COM TAMPA 20X20X12CM (Adaptada ORSE 83366)</t>
  </si>
  <si>
    <t>20.2.4</t>
  </si>
  <si>
    <t>CONDULETE DE ALUMÍNIO, TIPO E, PARA ELETRODUTO DE AÇO GALVANIZADO DN 20 MM (3/4''), APARENTE - FORNECIMENTO E INSTALAÇÃO. AF_11/2016_P</t>
  </si>
  <si>
    <t>20.2.5</t>
  </si>
  <si>
    <t>Antena Parabólica Gigasat GS180 1,80m Banda KU e C (Adaptada CPOS 69.10.140)</t>
  </si>
  <si>
    <t>20.2.6</t>
  </si>
  <si>
    <t>ANTENA EXTERNA VHF/UHF</t>
  </si>
  <si>
    <t>20.2.7</t>
  </si>
  <si>
    <t>Filtro passivo e misturador de sinais VHF / UHF / CATV</t>
  </si>
  <si>
    <t>20.2.8</t>
  </si>
  <si>
    <t>Divisor interno com 1 entrada e 2 saídas - 75 Ohms</t>
  </si>
  <si>
    <t>20.2.9</t>
  </si>
  <si>
    <t>20.2.10</t>
  </si>
  <si>
    <t>21</t>
  </si>
  <si>
    <t>INSTALAÇÕES HIDROSSANITÁRIAS</t>
  </si>
  <si>
    <t>21.1</t>
  </si>
  <si>
    <t>ÁGUA FRIA</t>
  </si>
  <si>
    <t>21.1.1</t>
  </si>
  <si>
    <t>(COMPOSIÇÃO REPRESENTATIVA) DO SERVIÇO DE INSTALAÇÃO TUBOS DE PVC, SOLDÁVEL, ÁGUA FRIA, DN 32 MM (INSTALADO EM RAMAL, SUB-RAMAL, RAMAL DE DISTRIBUIÇÃO OU PRUMADA), INCLUSIVE CONEXÕES, CORTES E FIXAÇÕES, PARA PRÉDIOS. AF_10/2015</t>
  </si>
  <si>
    <t>21.1.2</t>
  </si>
  <si>
    <t>(COMPOSIÇÃO REPRESENTATIVA) DO SERVIÇO DE INSTALAÇÃO DE TUBOS DE PVC, SOLDÁVEL, ÁGUA FRIA, DN 40 MM (INSTALADO EM PRUMADA), INCLUSIVE CONEXÕES, CORTES E FIXAÇÕES, PARA PRÉDIOS. AF_10/2015</t>
  </si>
  <si>
    <t>21.1.3</t>
  </si>
  <si>
    <t>(COMPOSIÇÃO REPRESENTATIVA) DO SERVIÇO DE INSTALAÇÃO DE TUBOS DE PVC, SOLDÁVEL, ÁGUA FRIA, DN 25 MM (INSTALADO EM RAMAL, SUB-RAMAL, RAMAL DE DISTRIBUIÇÃO OU PRUMADA), INCLUSIVE CONEXÕES, CORTES E FIXAÇÕES, PARA PRÉDIOS. AF_10/2015</t>
  </si>
  <si>
    <t>21.1.4</t>
  </si>
  <si>
    <t>REGISTRO DE GAVETA BRUTO, LATÃO, ROSCÁVEL, 3/4", COM ACABAMENTO E CANOPLA CROMADOS. FORNECIDO E INSTALADO EM RAMAL DE ÁGUA. AF_12/2014</t>
  </si>
  <si>
    <t>21.1.5</t>
  </si>
  <si>
    <t>(COMPOSIÇÃO REPRESENTATIVA) DO SERVIÇO DE INSTALAÇÃO DE TUBOS DE PVC, SOLDÁVEL, ÁGUA FRIA, DN 20 MM (INSTALADO EM RAMAL, SUB-RAMAL OU RAMAL DE DISTRIBUIÇÃO), INCLUSIVE CONEXÕES, CORTES E FIXAÇÕES, PARA PRÉDIOS. AF_10/2015</t>
  </si>
  <si>
    <t>21.1.6</t>
  </si>
  <si>
    <t>REGISTRO DE GAVETA BRUTO, LATÃO, ROSCÁVEL, 3/4", FORNECIDO E INSTALADO EM RAMAL DE ÁGUA. AF_12/2014</t>
  </si>
  <si>
    <t>21.1.7</t>
  </si>
  <si>
    <t>REGISTRO DE GAVETA BRUTO, LATÃO, ROSCÁVEL, 1, INSTALADO EM RESERVAÇÃO DE ÁGUA DE EDIFICAÇÃO QUE POSSUA RESERVATÓRIO DE FIBRA/FIBROCIMENTO  FORNECIMENTO E INSTALAÇÃO. AF_06/2016</t>
  </si>
  <si>
    <t>21.1.8</t>
  </si>
  <si>
    <t>REGISTRO DE GAVETA BRUTO, LATÃO, ROSCÁVEL, 1 1/4, INSTALADO EM RESERVAÇÃO DE ÁGUA DE EDIFICAÇÃO QUE POSSUA RESERVATÓRIO DE FIBRA/FIBROCIMENTO  FORNECIMENTO E INSTALAÇÃO. AF_06/2016</t>
  </si>
  <si>
    <t>21.1.9</t>
  </si>
  <si>
    <t>TORNEIRA CROMADA 1/2" OU 3/4" PARA TANQUE, PADRÃO POPULAR - FORNECIMENTO E INSTALAÇÃO. AF_12/2013</t>
  </si>
  <si>
    <t>21.1.10</t>
  </si>
  <si>
    <t>TORNEIRA DE BÓIA REAL, ROSCÁVEL, 3/4", FORNECIDA E INSTALADA EM RESERVAÇÃO DE ÁGUA. AF_06/2016</t>
  </si>
  <si>
    <t>21.1.11</t>
  </si>
  <si>
    <t>TORNEIRA DE BÓIA REAL, ROSCÁVEL, 1/2", FORNECIDA E INSTALADA EM RESERVAÇÃO DE ÁGUA. AF_06/2016</t>
  </si>
  <si>
    <t>21.1.12</t>
  </si>
  <si>
    <t>CHAVE DE BOIA AUTOMÁTICA</t>
  </si>
  <si>
    <t>21.1.13</t>
  </si>
  <si>
    <t>Bomba Centrífuga Ksb Hydrobloc C 750n 3/4 Cv Trifásica 220/380v</t>
  </si>
  <si>
    <t>21.1.14</t>
  </si>
  <si>
    <t>VÁLVULA DE RETENÇÃO VERTICAL Ø 20MM (3/4") - FORNECIMENTO E INSTALAÇÃO</t>
  </si>
  <si>
    <t>21.1.15</t>
  </si>
  <si>
    <t>CAIXA DE ALVENARIA 30X30X30CM, COM TAMPA DE FERRO</t>
  </si>
  <si>
    <t>21.1.16</t>
  </si>
  <si>
    <t>CAIXA D´ÁGUA EM POLIETILENO, 5000 LITROS, COM ACESSÓRIOS</t>
  </si>
  <si>
    <t>21.1.17</t>
  </si>
  <si>
    <t>REGISTRO DE GAVETA BRUTO, LATÃO, ROSCÁVEL, 1/2", FORNECIDO E INSTALADO EM RAMAL DE ÁGUA. AF_12/2014</t>
  </si>
  <si>
    <t>21.1.18</t>
  </si>
  <si>
    <t>Torneira de acionamento restrito (para jardins), DOCOL, 1122 ou similar</t>
  </si>
  <si>
    <t>21.1.19</t>
  </si>
  <si>
    <t>REGISTRO DE GAVETA BRUTO, LATÃO, ROSCÁVEL, 1/2", COM ACABAMENTO E CANOPLA CROMADOS. FORNECIDO E INSTALADO EM RAMAL DE ÁGUA. AF_12/2014</t>
  </si>
  <si>
    <t>21.1.20</t>
  </si>
  <si>
    <t>VÁLVULA DE PÉ COM CRIVO Ø 25MM (1") - FORNECIMENTO E INSTALAÇÃO</t>
  </si>
  <si>
    <t>21.1.21</t>
  </si>
  <si>
    <t>Caixa d'agua de polietileno - instalada, exceto base de apoio, cap. 310 litros</t>
  </si>
  <si>
    <t>21.1.22</t>
  </si>
  <si>
    <t>UNIÃO, PVC, SOLDÁVEL, DN 25MM, INSTALADO EM RAMAL DE DISTRIBUIÇÃO DE ÁGUA - FORNECIMENTO E INSTALAÇÃO. AF_12/2014</t>
  </si>
  <si>
    <t>21.1.23</t>
  </si>
  <si>
    <t>UNIÃO, PVC, SOLDÁVEL, DN 32MM, INSTALADO EM RAMAL DE DISTRIBUIÇÃO DE ÁGUA - FORNECIMENTO E INSTALAÇÃO. AF_12/2014</t>
  </si>
  <si>
    <t>21.1.24</t>
  </si>
  <si>
    <t>CURVA 90 GRAUS, PVC, SOLDÁVEL, DN 25MM, INSTALADO EM RAMAL DE DISTRIBUIÇÃO DE ÁGUA - FORNECIMENTO E INSTALAÇÃO. AF_12/2014</t>
  </si>
  <si>
    <t>21.1.25</t>
  </si>
  <si>
    <t>ADAPTADOR COM FLANGE E ANEL DE VEDAÇÃO, PVC, SOLDÁVEL, DN 32 MM X 1 , INSTALADO EM RESERVAÇÃO DE ÁGUA DE EDIFICAÇÃO QUE POSSUA RESERVATÓRIO DE FIBRA/FIBROCIMENTO   FORNECIMENTO E INSTALAÇÃO. AF_06/2016</t>
  </si>
  <si>
    <t>21.1.26</t>
  </si>
  <si>
    <t>ADAPTADOR COM FLANGE E ANEL DE VEDAÇÃO, PVC, SOLDÁVEL, DN  25 MM X 3/4 , INSTALADO EM RESERVAÇÃO DE ÁGUA DE EDIFICAÇÃO QUE POSSUA RESERVATÓRIO DE FIBRA/FIBROCIMENTO   FORNECIMENTO E INSTALAÇÃO. AF_06/2016</t>
  </si>
  <si>
    <t>21.1.27</t>
  </si>
  <si>
    <t>ADAPTADOR COM FLANGE E ANEL DE VEDAÇÃO, PVC, SOLDÁVEL, DN  20 MM X 1/2 , INSTALADO EM RESERVAÇÃO DE ÁGUA DE EDIFICAÇÃO QUE POSSUA RESERVATÓRIO DE FIBRA/FIBROCIMENTO   FORNECIMENTO E INSTALAÇÃO. AF_06/2016</t>
  </si>
  <si>
    <t>21.1.28</t>
  </si>
  <si>
    <t>FLANGE SEXTAVADO DE FERRO GALVANIZADO, COM ROSCA BSP, DE 1" P/ SAÍDA DA RESERVA DE CONSUMO - FORNECIMENTO E INSTALAÇÃO.</t>
  </si>
  <si>
    <t>21.1.29</t>
  </si>
  <si>
    <t>FLANGE SEXTAVADO DE FERRO GALVANIZADO, COM ROSCA BSP, DE 1 1/4" P/ SAÍDA DA RESERVA DE CONSUMO - FORNECIMENTO E INSTALAÇÃO.</t>
  </si>
  <si>
    <t>21.2</t>
  </si>
  <si>
    <t>ESGOTO</t>
  </si>
  <si>
    <t>21.2.1</t>
  </si>
  <si>
    <t>(COMPOSIÇÃO REPRESENTATIVA) DO SERVIÇO DE INSTALAÇÃO DE TUBO DE PVC, SÉRIE NORMAL, ESGOTO PREDIAL, DN 50 MM (INSTALADO EM RAMAL DE DESCARGA OU RAMAL DE ESGOTO SANITÁRIO), INCLUSIVE CONEXÕES, CORTES E FIXAÇÕES PARA, PRÉDIOS. AF_10/2015</t>
  </si>
  <si>
    <t>21.2.2</t>
  </si>
  <si>
    <t>(COMPOSIÇÃO REPRESENTATIVA) DO SERVIÇO DE INST. TUBO PVC, SÉRIE N, ESGOTO PREDIAL, DN 75 MM, (INST. EM RAMAL DE DESCARGA, RAMAL DE ESG. SANITÁRIO, PRUMADA DE ESG. SANITÁRIO OU VENTILAÇÃO), INCL. CONEXÕES, CORTES E FIXAÇÕES, P/ PRÉDIOS. AF_10/2015</t>
  </si>
  <si>
    <t>21.2.3</t>
  </si>
  <si>
    <t>(COMPOSIÇÃO REPRESENTATIVA) DO SERVIÇO DE INST. TUBO PVC, SÉRIE N, ESGOTO PREDIAL, 100 MM (INST. RAMAL DESCARGA, RAMAL DE ESG. SANIT., PRUMADA ESG. SANIT., VENTILAÇÃO OU SUB-COLETOR AÉREO), INCL. CONEXÕES E CORTES, FIXAÇÕES, P/ PRÉDIOS. AF_10/2015</t>
  </si>
  <si>
    <t>21.2.4</t>
  </si>
  <si>
    <t>(COMPOSIÇÃO REPRESENTATIVA) DO SERVIÇO DE INSTALAÇÃO DE TUBO DE PVC, SÉRIE NORMAL, ESGOTO PREDIAL, DN 40 MM (INSTALADO EM RAMAL DE DESCARGA OU RAMAL DE ESGOTO SANITÁRIO), INCLUSIVE CONEXÕES, CORTES E FIXAÇÕES, PARA PRÉDIOS. AF_10/2015</t>
  </si>
  <si>
    <t>21.2.5</t>
  </si>
  <si>
    <t>CAIXA SIFONADA, PVC, DN 100 X 150 X 50 MM, JUNTA ELÁSTICA, FORNECIDA E INSTALADA EM RAMAL DE DESCARGA OU EM RAMAL DE ESGOTO SANITÁRIO. (Adaptada)</t>
  </si>
  <si>
    <t>21.2.6</t>
  </si>
  <si>
    <t>CANALETA DE PISO COM GRELHA 10CM</t>
  </si>
  <si>
    <t>21.2.7</t>
  </si>
  <si>
    <t>Terminal de ventilação em pvc rígido soldável, para esgoto primário, diâm = 75mm</t>
  </si>
  <si>
    <t>21.2.8</t>
  </si>
  <si>
    <t>21.2.9</t>
  </si>
  <si>
    <t>CAIXA DE GORDURA DUPLA EM CONCRETO PRE-MOLDADO DN 60MM COM TAMPA - FORNECIMENTO E INSTALACAO</t>
  </si>
  <si>
    <t>21.2.10</t>
  </si>
  <si>
    <t>CAIXA DE INSPEÇÃO 80X80X80CM EM ALVENARIA, REVESTIDA INTERNAMENTE, C/ TAMPA PRÉ-MOLDADA DE CONCRETO E FUNDO DE CONCRETO. - ESCAVAÇÃO E CONFECÇÃO</t>
  </si>
  <si>
    <t>21.2.11</t>
  </si>
  <si>
    <t>CAIXA SIFONADA, PVC, DN 150 X 185 X 75 MM, JUNTA ELÁSTICA, FORNECIDA E INSTALADA EM RAMAL DE DESCARGA OU EM RAMAL DE ESGOTO SANITÁRIO. AF_12/2014</t>
  </si>
  <si>
    <t>21.2.12</t>
  </si>
  <si>
    <t>SUMIDOURO EM ALVENARIA DE TIJOLO CERAMICO MACIÇO DIAMETRO 2,90M E ALTURA 2,50M, COM TAMPA EM CONCRETO ARMADO DIAMETRO 3,10M E ESPESSURA 12CM - ADAPTADA SINAPI 74198/001</t>
  </si>
  <si>
    <t>21.2.13</t>
  </si>
  <si>
    <t>FILTRO ANAEROBIO, EM POLIETILENO DE ALTA DENSIDADE (PEAD), CAPACIDADE *5000* LITROS (NBR 13969), FORNECIMENTO E INSTALAÇÃO</t>
  </si>
  <si>
    <t>21.2.14</t>
  </si>
  <si>
    <t>FOSSA SEPTICA, SEM FILTRO, PARA 80 CONTRIBUINTES, CONTRIBUIÇÃO DIÁRIA 50 L/PESSOA, CILINDRICA, COM TAMPA, EM POLIETILENO DE ALTA DENSIDADE (PEAD), CAPACIDADE APROXIMADA DE 5500 LITROS (NBR 7229) - FORNECIMENTO E INSTALAÇÃO</t>
  </si>
  <si>
    <t>21.3</t>
  </si>
  <si>
    <t>ÁGUAS PLUVIAIS</t>
  </si>
  <si>
    <t>21.3.1</t>
  </si>
  <si>
    <t>(COMPOSIÇÃO REPRESENTATIVA) DO SERVIÇO DE INSTALAÇÃO DE TUBOS DE PVC, SÉRIE R, ÁGUA PLUVIAL, DN 100 MM (INSTALADO EM RAMAL DE ENCAMINHAMENTO, OU CONDUTORES VERTICAIS), INCLUSIVE CONEXÕES, CORTES E FIXAÇÕES, PARA PRÉDIOS. AF_10/2015</t>
  </si>
  <si>
    <t>21.3.2</t>
  </si>
  <si>
    <t>(COMPOSIÇÃO REPRESENTATIVA) DO SERVIÇO DE INSTALAÇÃO DE TUBOS DE PVC, SÉRIE R, ÁGUA PLUVIAL, DN 75 MM (INSTALADO EM RAMAL DE ENCAMINHAMENTO, OU CONDUTORES VERTICAIS), INCLUSIVE CONEXÕES, CORTE E FIXAÇÕES, PARA PRÉDIOS. AF_10/2015</t>
  </si>
  <si>
    <t>21.3.3</t>
  </si>
  <si>
    <t>RALO HEMISFÉRICO 4", FERRO FUNDIDO (Adaptada ORSE 7752)</t>
  </si>
  <si>
    <t>21.3.4</t>
  </si>
  <si>
    <t>RALO HEMISFÉRICO 3", FERRO FUNDIDO (Adaptada ORSE 7752)</t>
  </si>
  <si>
    <t>21.3.5</t>
  </si>
  <si>
    <t>CANALETA DE PISO COM GRELHA 20CM</t>
  </si>
  <si>
    <t>21.3.6</t>
  </si>
  <si>
    <t>CANALETA DE PISO SEM GRELHA 20CM</t>
  </si>
  <si>
    <t>21.3.7</t>
  </si>
  <si>
    <t>EXECUCAO DE DRENO COM MANTA GEOTEXTIL 200 G/M2</t>
  </si>
  <si>
    <t>22</t>
  </si>
  <si>
    <t>INSTALAÇÕES DE COMBATE A INCÊNDIO E PÂNICO</t>
  </si>
  <si>
    <t>22.1</t>
  </si>
  <si>
    <t>HIDRANTE</t>
  </si>
  <si>
    <t>22.1.1</t>
  </si>
  <si>
    <t>TUBO DE AÇO GALVANIZADO COM COSTURA, CLASSE MÉDIA, DN 65 (2 1/2"), CONEXÃO ROSQUEADA, INSTALADO EM REDE DE ALIMENTAÇÃO PARA HIDRANTE - FORNECIMENTO E INSTALAÇÃO. AF_12/2015</t>
  </si>
  <si>
    <t>22.1.2</t>
  </si>
  <si>
    <t>ABRIGO PARA HIDRANTE, 90X60X17CM, COM REGISTRO GLOBO ANGULAR 45º 2.1/2", ADAPTADOR STORZ 2.1/2", MANGUEIRA DE INCÊNDIO 20M, REDUÇÃO 2.1/2X1.1/2" E ESGUICHO EM LATÃO 1.1/2" - FORNECIMENTO E INSTALAÇÃO (Adaptada)</t>
  </si>
  <si>
    <t>22.1.3</t>
  </si>
  <si>
    <t>HIDRANTE DE RECALQUE PARA PASSEIO PÚBLICO, 50 X 60 X 40 CM, COM TAMPA DE FERRO FUNDIDO, REGISTRO GLOBO ANGULAR 45º DN 2 1/2", ADAPTADOR ENGATE RÁPIDO X ROSCA, TAMPÃO COM CORRENTE P/ ENGATE RÁPIDO, JOELHO 90º DN 2 1/2" E NIPLE 2 1/2" - FORNECIMENTO E INSTALAÇÃO</t>
  </si>
  <si>
    <t>22.1.4</t>
  </si>
  <si>
    <t>HIDRANTE DE COLUNA, COM ABRIGO 1,20 X 0,90 X 0,30 CM, DUAS MANGUEIRAS DE INCÊNDIO COM 15 M CADA, CHAVE P/ UNIÃO ENGATE RÁPIDO, ESGUICHO JATO REGULÁVEL DN 40MM, REGISTRO GLOBO ANGULAR 45º 2 1/2", ADAPTADOR STORZ 2 1/2" P/ 1 1/2",  CHAVE STORZ 2 1/2", JOELHO FG 90º DN 2 1/2" E TUBO DE AÇO DN 2 1/2" - FORNECIMENTO E INSTALAÇÃO</t>
  </si>
  <si>
    <t>22.2</t>
  </si>
  <si>
    <t>CASA DE BOMBAS</t>
  </si>
  <si>
    <t>22.2.1</t>
  </si>
  <si>
    <t>VÁLVULA DE RETENÇÃO HORIZ.OU VERT. D= 65mm (2 1/2")</t>
  </si>
  <si>
    <t>22.2.2</t>
  </si>
  <si>
    <t>Bomba de Incêndio Firebloc KSB 32-125R 3Cv Trifásica 220/380/440V</t>
  </si>
  <si>
    <t>22.2.3</t>
  </si>
  <si>
    <t>Bomba para incêndio a diesel 10 cv, vazão de 38,00 m³/h,  hman= 50 m.c.a</t>
  </si>
  <si>
    <t>22.2.4</t>
  </si>
  <si>
    <t>UNIÃO, EM FERRO GALVANIZADO, DN 80 (3"), CONEXÃO ROSQUEADA, INSTALADO EM REDE DE ALIMENTAÇÃO PARA HIDRANTE - FORNECIMENTO E INSTALAÇÃO. AF_12/2015</t>
  </si>
  <si>
    <t>22.2.5</t>
  </si>
  <si>
    <t>UNIÃO, EM FERRO GALVANIZADO, DN 65 (2 1/2"), CONEXÃO ROSQUEADA, INSTALADO EM REDE DE ALIMENTAÇÃO PARA HIDRANTE - FORNECIMENTO E INSTALAÇÃO. AF_12/2015</t>
  </si>
  <si>
    <t>22.2.6</t>
  </si>
  <si>
    <t>Pressostato Danfoss KP37, faixa de pressão 4 a 21 bar (Adaptada ORSE 9670)</t>
  </si>
  <si>
    <t>22.2.7</t>
  </si>
  <si>
    <t>Tanque de Pressão Jacuzzi Hidropneumático com bolsa de separação YJ18 (Adaptada ORSE 9905)</t>
  </si>
  <si>
    <t>22.2.8</t>
  </si>
  <si>
    <t>Manômetro Industrial com Glicerina Ø 63 mm Faixa 0 a 200 Kgf</t>
  </si>
  <si>
    <t>22.2.9</t>
  </si>
  <si>
    <t>VÁLVULA ESFERA 1" (Adaptada SINAPI 94500)</t>
  </si>
  <si>
    <t>22.2.10</t>
  </si>
  <si>
    <t>VALVULA DE RETENCAO HORIZONTAL Ø 25MM (1) - FORNECIMENTO E INSTALACAO</t>
  </si>
  <si>
    <t>22.2.11</t>
  </si>
  <si>
    <t>TUBO DE AÇO GALVANIZADO COM COSTURA 1" (25MM), INCLUSIVE CONEXOES - FORNECIMENTO E INSTALACAO</t>
  </si>
  <si>
    <t>22.2.12</t>
  </si>
  <si>
    <t>TUBO DE AÇO GALVANIZADO COM COSTURA, CLASSE MÉDIA, DN 80 (3"), CONEXÃO ROSQUEADA, INSTALADO EM REDE DE ALIMENTAÇÃO PARA HIDRANTE - FORNECIMENTO E INSTALAÇÃO. AF_12/2015</t>
  </si>
  <si>
    <t>22.2.13</t>
  </si>
  <si>
    <t>Registro gaveta bruto, d = 65 mm (2 1/2") - ref.1502-B, Pn16, Deca ou similar</t>
  </si>
  <si>
    <t>22.2.14</t>
  </si>
  <si>
    <t>JOELHO 90 GRAUS, EM FERRO GALVANIZADO, CONEXÃO ROSQUEADA, DN 80 (3"), INSTALADO EM REDE DE ALIMENTAÇÃO PARA HIDRANTE - FORNECIMENTO E INSTALAÇÃO. AF_12/2015</t>
  </si>
  <si>
    <t>22.2.15</t>
  </si>
  <si>
    <t>TÊ, EM FERRO GALVANIZADO, CONEXÃO ROSQUEADA, DN 80 (3"), INSTALADO EM REDE DE ALIMENTAÇÃO PARA HIDRANTE - FORNECIMENTO E INSTALAÇÃO. AF_12/2015</t>
  </si>
  <si>
    <t>22.2.16</t>
  </si>
  <si>
    <t>JOELHO 90 GRAUS, EM FERRO GALVANIZADO, DN 65 (2 1/2"), CONEXÃO ROSQUEADA, INSTALADO EM REDE DE ALIMENTAÇÃO PARA HIDRANTE - FORNECIMENTO E INSTALAÇÃO. AF_12/2015</t>
  </si>
  <si>
    <t>22.2.17</t>
  </si>
  <si>
    <t>TÊ, EM FERRO GALVANIZADO, CONEXÃO ROSQUEADA, DN 65 (2 1/2"), INSTALADO EM REDE DE ALIMENTAÇÃO PARA HIDRANTE - FORNECIMENTO E INSTALAÇÃO. AF_12/2015</t>
  </si>
  <si>
    <t>22.2.18</t>
  </si>
  <si>
    <t>VÁLVULA DE ALÍVIO E SEGURANÇA, DIÂMETRO DE 2 1/2" NPT</t>
  </si>
  <si>
    <t>22.2.19</t>
  </si>
  <si>
    <t>REGISTRO DE GAVETA BRUTO, LATÃO, ROSCÁVEL, 3, INSTALADO EM SUCÇÃO DE BOMBA DE INCÊNDIO  FORNECIMENTO E INSTALAÇÃO.</t>
  </si>
  <si>
    <t>22.2.20</t>
  </si>
  <si>
    <t>FLANGE SEXTAVADO DE FERRO GALVANIZADO, COM ROSCA BSP, DE 3" P/ SAÍDA DA RESERVA DE INCÊNDIO - FORNECIMENTO E INSTALAÇÃO.</t>
  </si>
  <si>
    <t>22.2.21</t>
  </si>
  <si>
    <t>BUCHA DE REDUCAO DE FERRO GALVANIZADO, COM ROSCA BSP, DE 2 1/2" X 1" - FORNECIMENTO E INSTALAÇÃO</t>
  </si>
  <si>
    <t>22.2.22</t>
  </si>
  <si>
    <t>QUADRO COMANDO PARA CONJUNTO MOTOR-BOMBA, TRIFÁSICO - ATÉ 5HP (Automação bombas de incêndio)</t>
  </si>
  <si>
    <t>22.3</t>
  </si>
  <si>
    <t>EQUIPAMENTOS DE ALARME</t>
  </si>
  <si>
    <t>22.3.1</t>
  </si>
  <si>
    <t>Detector de fumaça óptico endereçável, modelo VRE-F, marca VERIN ou similar</t>
  </si>
  <si>
    <t>22.3.2</t>
  </si>
  <si>
    <t>Acionador manual (botoeira) tipo quebra-vidro, p/instal. incendio</t>
  </si>
  <si>
    <t>22.3.3</t>
  </si>
  <si>
    <t>AVISADOR SONORO E VISUAL</t>
  </si>
  <si>
    <t>22.3.4</t>
  </si>
  <si>
    <t>Detector de temperatura termovelocímetrico endereçável, modelo VRE-T, marca VERIN ou similar</t>
  </si>
  <si>
    <t>22.3.5</t>
  </si>
  <si>
    <t>Central de alarme de incendio, 24V (até 40 setores) c/ 2 bateria - vr-40l- Verin ou similar (Adaptada)</t>
  </si>
  <si>
    <t>22.3.6</t>
  </si>
  <si>
    <t>Botoeira Liga-Desliga para Bomba de Incêndio Modelo BLD-1, marca VERIN  ou similar</t>
  </si>
  <si>
    <t>22.4</t>
  </si>
  <si>
    <t>ELETRODUTOS, CONDULETES, CAIXAS E ACESSÓRIOS</t>
  </si>
  <si>
    <t>22.4.1</t>
  </si>
  <si>
    <t>22.4.2</t>
  </si>
  <si>
    <t>CONDULETE DE ALUMÍNIO, TIPO LR, PARA ELETRODUTO DE AÇO GALVANIZADO DN 20 MM (3/4''), APARENTE - FORNECIMENTO E INSTALAÇÃO. AF_11/2016_P</t>
  </si>
  <si>
    <t>22.4.3</t>
  </si>
  <si>
    <t>22.4.4</t>
  </si>
  <si>
    <t>CAIXA RETANGULAR 4" X 4", METÁLICA, INSTALADA NO FORRO - FORNECIMENTO E INSTALAÇÃO.</t>
  </si>
  <si>
    <t>22.4.5</t>
  </si>
  <si>
    <t>22.4.6</t>
  </si>
  <si>
    <t>CAIXA DE PASSAGEM PVC 4X2" - FORNECIMENTO E INSTALACAO</t>
  </si>
  <si>
    <t>22.4.7</t>
  </si>
  <si>
    <t>FIXAÇÃO DE DETECTORES DE FUMAÇA ( MATERIAL E MÃO DE OBRA)</t>
  </si>
  <si>
    <t>22.4.8</t>
  </si>
  <si>
    <t>22.4.9</t>
  </si>
  <si>
    <t>FIXAÇÃO DE TUBULAÇÃO DE INCÊNDIO DN 2 1/2" ( MATERIAL E MÃO DE OBRA)</t>
  </si>
  <si>
    <t>22.4.10</t>
  </si>
  <si>
    <t>22.5</t>
  </si>
  <si>
    <t>22.5.1</t>
  </si>
  <si>
    <t>Cabo de cobre flexível, blindado com fita de cobre, 2 x 1,5 mm2, tensão 1kv</t>
  </si>
  <si>
    <t>22.6</t>
  </si>
  <si>
    <t>ILUMINAÇÃO E SINALIZAÇÃO DE EMERGÊNCIA</t>
  </si>
  <si>
    <t>22.6.1</t>
  </si>
  <si>
    <t>Sinalização para equipamento, 30 CM X 30 CM</t>
  </si>
  <si>
    <t>22.6.2</t>
  </si>
  <si>
    <t>Luminária de emergência, de sobrepor, tipo bloco autônomo, com autonomia de 1h, modelo LLE-LLEDDF, da KBR ou si</t>
  </si>
  <si>
    <t>22.6.3</t>
  </si>
  <si>
    <t>PINTURA ACRILICA PARA SINALIZAÇÃO HORIZONTAL EM PISO</t>
  </si>
  <si>
    <t>22.6.4</t>
  </si>
  <si>
    <t>PLACA DE SINALIZACAO DE SEGURANCA CONTRA INCENDIO, FOTOLUMINESCENTE, RETANGULAR, *13 X 26* CM, EM PVC *2* MM ANTI-CHAMAS (SIMBOLOS, CORES E PICTOGRAMAS CONFORME NBR 13434) - FORNECIMENTO E INSTALAÇÃO</t>
  </si>
  <si>
    <t>22.7</t>
  </si>
  <si>
    <t>EXTINTORES</t>
  </si>
  <si>
    <t>22.7.1</t>
  </si>
  <si>
    <t>EXTINTOR DE CO2 6KG - FORNECIMENTO E INSTALACAO</t>
  </si>
  <si>
    <t>22.7.2</t>
  </si>
  <si>
    <t>Extintor de incêndio ABC - 12Kg</t>
  </si>
  <si>
    <t>23</t>
  </si>
  <si>
    <t>ÁREAS MOLHADAS</t>
  </si>
  <si>
    <t>23.1</t>
  </si>
  <si>
    <t>LOUÇAS</t>
  </si>
  <si>
    <t>23.1.1</t>
  </si>
  <si>
    <t>VASO SANITÁRIO SIFONADO COM CAIXA ACOPLADA LOUÇA BRANCA - PADRÃO MÉDIO, INCLUSO ENGATE FLEXÍVEL EM PVC, 1/2 X 40CM - FORNECIMENTO E INSTALAÇÃO. AF_12/2013(ADAPTADO)</t>
  </si>
  <si>
    <t>23.1.2</t>
  </si>
  <si>
    <t>VASO SANITARIO SIFONADO CONVENCIONAL PARA PCD SEM FURO FRONTAL COM LOUÇA BRANCA SEM ASSENTO, INCLUSO CONJUNTO DE LIGAÇÃO PARA BACIA SANITÁRIA AJUSTÁVEL - FORNECIMENTO E INSTALAÇÃO. AF_10/2016</t>
  </si>
  <si>
    <t>23.1.3</t>
  </si>
  <si>
    <t>MICTORIO SIFONADO DE LOUCA BRANCA COM PERTENCES, COM REGISTRO DE PRESSAO 1/2" COM CANOPLA CROMADA ACABAMENTO SIMPLES E CONJUNTO PARA FIXACAO  - FORNECIMENTO E INSTALACAO</t>
  </si>
  <si>
    <t>23.1.4</t>
  </si>
  <si>
    <t>Lavatório louça com coluna suspensa, com sifão plástico, válvula em metal, engate de pvc, exclusive torneira (Adaptada ORSE 7759)</t>
  </si>
  <si>
    <t>23.1.5</t>
  </si>
  <si>
    <t>CUBA DE SEMI ENCAIXE RET 360X325MM BR L.733.17 DECA ou similar, inclusive sifão PVC tipo garrafa, válvula cromada para pia e engate flexível PVC (Adaptada)</t>
  </si>
  <si>
    <t>23.1.6</t>
  </si>
  <si>
    <t>Cuba de embutir, circular, linha carrara L41, DECA ou similar, inclusive sifão PVC tipo garrafa, válvula cromada para pia e engate flexível PVC (Adaptada)</t>
  </si>
  <si>
    <t>23.1.7</t>
  </si>
  <si>
    <t>LAVATÓRIO LOUÇA BRANCA SUSPENSO, 29,5 X 39CM OU EQUIVALENTE, PADRÃO POPULAR, INCLUSO SIFÃO TIPO GARRAFA EM PVC, VÁLVULA CROMADA E ENGATE FLEXÍVEL 30CM EM PLÁSTICO E TORNEIRA CROMADA DE MESA, PADRÃO POPULAR - FORNECIMENTO E INSTALAÇÃO. AF_12/2013 (ADAPTADA)</t>
  </si>
  <si>
    <t>23.1.8</t>
  </si>
  <si>
    <t>CUBA DE EMBUTIR DE AÇO INOXIDÁVEL MÉDIA, INCLUSO VÁLVULA TIPO AMERICANA EM METAL CROMADO E SIFÃO TIPO GARRAFA EM PVC - FORNECIMENTO E INSTALAÇÃO. AF_12/2013 (ADAPTADO)</t>
  </si>
  <si>
    <t>23.1.9</t>
  </si>
  <si>
    <t>TANQUE DE LOUÇA BRANCA SUSPENSO, 18L OU EQUIVALENTE, INCLUSO SIFÃO TIPO GARRAFA EM PVC, VÁLVULA EM METAL CROMADO E TORNEIRA DE METAL CROMADO PADRÃO POPULAR - FORNECIMENTO E INSTALAÇÃO. AF_12/2013 (ADAPTADO)</t>
  </si>
  <si>
    <t>23.2</t>
  </si>
  <si>
    <t>METAIS</t>
  </si>
  <si>
    <t>23.2.1</t>
  </si>
  <si>
    <t>Ducha higiênica com registro, linha aspen, ref. 1984 C35 da DECA ou similar</t>
  </si>
  <si>
    <t>23.2.2</t>
  </si>
  <si>
    <t>Barra de apoio para deficientes em aço inox l=80cm, ø=1 1/2"</t>
  </si>
  <si>
    <t>23.2.3</t>
  </si>
  <si>
    <t>TORNEIRA CROMADA DE MESA PARA LAVATORIO TEMPORIZADA PRESSAO BICA BAIXA - FORNECIMENTO E INSTALAÇÃO - ADAPTADA SINAPI (86915)</t>
  </si>
  <si>
    <t>23.2.4</t>
  </si>
  <si>
    <t>Barra de apoio para deficientes em aço inox l=45cm, d=38.1 mm(ADAPTADA-ORSE 8492)</t>
  </si>
  <si>
    <t>23.2.5</t>
  </si>
  <si>
    <t>TORNEIRA CROMADA TUBO MÓVEL, DE PAREDE, 1/2" OU 3/4", PARA PIA DE COZINHA, PADRÃO MÉDIO - FORNECIMENTO E INSTALAÇÃO. AF_12/2013</t>
  </si>
  <si>
    <t>23.3</t>
  </si>
  <si>
    <t>ACESSÓRIOS</t>
  </si>
  <si>
    <t>23.3.1</t>
  </si>
  <si>
    <t>Caixa de descarga de embutir com acabamento em PVC (Montana, linha Elegance ou similar)</t>
  </si>
  <si>
    <t>23.3.2</t>
  </si>
  <si>
    <t>SABONETEIRA PLASTICA TIPO DISPENSER PARA SABONETE LIQUIDO COM RESERVATORIO 800 A 1500 ML, INCLUSO FIXAÇÃO. AF_10/2016</t>
  </si>
  <si>
    <t>23.3.3</t>
  </si>
  <si>
    <t>Dispenser para toalha interfolhada</t>
  </si>
  <si>
    <t>23.3.4</t>
  </si>
  <si>
    <t>Papeleira de plástico, Akros ou similar</t>
  </si>
  <si>
    <t>23.3.5</t>
  </si>
  <si>
    <t>Alarme Banheiro Pne Deficiente Físico Conforme Nbr 9050 com acionador</t>
  </si>
  <si>
    <t>23.3.6</t>
  </si>
  <si>
    <t>Assento plastico, universal, branco, para vaso sanitario, tipo convencional, Incepa ou similar</t>
  </si>
  <si>
    <t>23.4</t>
  </si>
  <si>
    <t>ESPELHOS</t>
  </si>
  <si>
    <t>23.4.1</t>
  </si>
  <si>
    <t>ESPELHO CRISTAL ESPESSURA 3MM, SEM MOLDURA, COM COMPENSADO PLASTIFICADO COLADO (Adaptada SINAPI 74125/002)</t>
  </si>
  <si>
    <t>23.5</t>
  </si>
  <si>
    <t>BANCADAS</t>
  </si>
  <si>
    <t>23.5.1</t>
  </si>
  <si>
    <t>Bancada em granito cinza andorinha, e=2cm</t>
  </si>
  <si>
    <t>23.5.2</t>
  </si>
  <si>
    <t>Bancada em aço inoxidável 304, acabamento polido, inclusive rodopia h=10cm (ADAPTADA)</t>
  </si>
  <si>
    <t>24</t>
  </si>
  <si>
    <t>PAISAGISMO</t>
  </si>
  <si>
    <t>24.1</t>
  </si>
  <si>
    <t>PLANTIO DE GRAMA AMENDOIM EM PLACAS - ADAPTADA SINAPI (74236/001)</t>
  </si>
  <si>
    <t>24.2</t>
  </si>
  <si>
    <t>Planta - Palmeira fênix (phoenix roebelenii), fornecimento e plantio</t>
  </si>
  <si>
    <t>24.3</t>
  </si>
  <si>
    <t>Planta - Yuca Elefante (yucca elephantipes), h=1,60m, fornecimento e plantio</t>
  </si>
  <si>
    <t>24.4</t>
  </si>
  <si>
    <t>Planta - Palmeira cica (cyca revoluta) h=1,00m, fornecimento e plantio</t>
  </si>
  <si>
    <t>24.5</t>
  </si>
  <si>
    <t>Planta - Agave azul (agave americana), fornecimento e plantio</t>
  </si>
  <si>
    <t>24.6</t>
  </si>
  <si>
    <t>Bromélia Imperial (Alcântra Imperialis)</t>
  </si>
  <si>
    <t>24.7</t>
  </si>
  <si>
    <t>Planta - Alpinia vermelha (alpinia purpurata), fornecimento e plantio</t>
  </si>
  <si>
    <t>24.8</t>
  </si>
  <si>
    <t>Plantio de Cheflera (Schefflera Arboricola)</t>
  </si>
  <si>
    <t>24.9</t>
  </si>
  <si>
    <t>Planta - Dracena tricolor (muda), fornecimento e plantio</t>
  </si>
  <si>
    <t>24.10</t>
  </si>
  <si>
    <t>PLANTIO DE ARBUSTO COM ALTURA 50 A 100CM, EM CAVA DE 60X60X60CM</t>
  </si>
  <si>
    <t>24.11</t>
  </si>
  <si>
    <t>Planta - Ixora pink (ixora coccinea pink), fornecimento e plantio</t>
  </si>
  <si>
    <t>24.12</t>
  </si>
  <si>
    <t>Planta - Vinca ou boa noite (catharantuhs roseus), h=0,30m, fornecimento e plantio</t>
  </si>
  <si>
    <t>24.13</t>
  </si>
  <si>
    <t>Plantio de Barba de Serpente (Ophiopogon Jaburan)</t>
  </si>
  <si>
    <t>24.14</t>
  </si>
  <si>
    <t>Planta - Russélia (russelia equisetiformis), fornecimento e plantio</t>
  </si>
  <si>
    <t>24.15</t>
  </si>
  <si>
    <t>Aplicação de Casca de Pinus em camada de 15 cm</t>
  </si>
  <si>
    <t>24.16</t>
  </si>
  <si>
    <t>Aplicação de Seixo Rolado em camada de 8cm</t>
  </si>
  <si>
    <t>24.17</t>
  </si>
  <si>
    <t>Pedra ornamental para paisagismo (1 a 1,5 T)</t>
  </si>
  <si>
    <t>25</t>
  </si>
  <si>
    <t>SERVIÇOS COMPLEMENTARES</t>
  </si>
  <si>
    <t>25.1</t>
  </si>
  <si>
    <t>CONJUNTO DE MASTRO P/ TRÊS BANDEIRAS E PEDESTAL (Adaptada SEINFRA C0864)</t>
  </si>
  <si>
    <t>25.2</t>
  </si>
  <si>
    <t>SINALIZAÇÃO EXTERNA DE PROMOTORIA COM LETRAS EM PVC EXPANDIDO 3CM, H=10 A 12CM, INC. LOGOMARCA</t>
  </si>
  <si>
    <t>UNID</t>
  </si>
  <si>
    <t>25.3</t>
  </si>
  <si>
    <t>KIT MOTOR PARA PORTÃO DESLIZANTE 1/2 HP, INC. ACESSÓRIOS</t>
  </si>
  <si>
    <t>26</t>
  </si>
  <si>
    <t>LIMPEZA GERAL</t>
  </si>
  <si>
    <t>26.1</t>
  </si>
  <si>
    <t>LIMPEZA FINAL DA OBRA</t>
  </si>
  <si>
    <t>Total Geral</t>
  </si>
  <si>
    <t>Cronograma Físico-Financeiro</t>
  </si>
  <si>
    <t>Total Por Etapa</t>
  </si>
  <si>
    <t>30 DIAS</t>
  </si>
  <si>
    <t>60 DIAS</t>
  </si>
  <si>
    <t>90 DIAS</t>
  </si>
  <si>
    <t>120 DIAS</t>
  </si>
  <si>
    <t>150 DIAS</t>
  </si>
  <si>
    <t>180 DIAS</t>
  </si>
  <si>
    <t>210 DIAS</t>
  </si>
  <si>
    <t>240 DIAS</t>
  </si>
  <si>
    <t>Porcentagem</t>
  </si>
  <si>
    <t>Custo</t>
  </si>
  <si>
    <t>Porcentagem Acumulada</t>
  </si>
  <si>
    <t>Custo Acumulado</t>
  </si>
  <si>
    <t>CONCORRÊNCIA Nº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</si>
</sst>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R$-416]\ #,##0.00;[Red]\-[$R$-416]\ #,##0.00"/>
    <numFmt numFmtId="165" formatCode="#,##0.00#####"/>
    <numFmt numFmtId="166" formatCode="&quot;R$ &quot;#,##0.00"/>
    <numFmt numFmtId="167" formatCode="_-&quot;R$ &quot;* #,##0.00_-;&quot;-R$ &quot;* #,##0.00_-;_-&quot;R$ &quot;* \-??_-;_-@_-"/>
  </numFmts>
  <fonts count="27" x14ac:knownFonts="1">
    <font>
      <sz val="11"/>
      <color rgb="FF000000"/>
      <name val="Calibri"/>
      <family val="2"/>
      <charset val="1"/>
    </font>
    <font>
      <b/>
      <sz val="11"/>
      <color rgb="FF000000"/>
      <name val="Calibri"/>
      <family val="2"/>
      <charset val="1"/>
    </font>
    <font>
      <b/>
      <u/>
      <sz val="12"/>
      <color rgb="FFFF0000"/>
      <name val="Arial"/>
      <family val="2"/>
      <charset val="1"/>
    </font>
    <font>
      <sz val="12"/>
      <color rgb="FF000000"/>
      <name val="Arial"/>
      <family val="2"/>
      <charset val="1"/>
    </font>
    <font>
      <b/>
      <sz val="18"/>
      <name val="Arial"/>
      <family val="1"/>
      <charset val="1"/>
    </font>
    <font>
      <b/>
      <u/>
      <sz val="12"/>
      <color rgb="FF000000"/>
      <name val="Arial"/>
      <family val="2"/>
      <charset val="1"/>
    </font>
    <font>
      <sz val="16"/>
      <color rgb="FF000000"/>
      <name val="Arial"/>
      <family val="2"/>
      <charset val="1"/>
    </font>
    <font>
      <b/>
      <sz val="16"/>
      <name val="Arial"/>
      <family val="2"/>
      <charset val="1"/>
    </font>
    <font>
      <sz val="16"/>
      <name val="Arial"/>
      <family val="2"/>
      <charset val="1"/>
    </font>
    <font>
      <b/>
      <sz val="14"/>
      <color rgb="FF000000"/>
      <name val="Arial"/>
      <family val="2"/>
      <charset val="1"/>
    </font>
    <font>
      <b/>
      <sz val="12"/>
      <color rgb="FF000000"/>
      <name val="Arial"/>
      <family val="2"/>
      <charset val="1"/>
    </font>
    <font>
      <b/>
      <sz val="16"/>
      <color rgb="FF000000"/>
      <name val="Arial"/>
      <family val="2"/>
      <charset val="1"/>
    </font>
    <font>
      <sz val="11"/>
      <name val="Arial"/>
      <family val="1"/>
      <charset val="1"/>
    </font>
    <font>
      <b/>
      <sz val="14"/>
      <name val="Arial"/>
      <family val="2"/>
      <charset val="1"/>
    </font>
    <font>
      <b/>
      <sz val="13"/>
      <color rgb="FF000000"/>
      <name val="Arial"/>
      <family val="2"/>
      <charset val="1"/>
    </font>
    <font>
      <sz val="13"/>
      <color rgb="FF000000"/>
      <name val="Arial"/>
      <family val="2"/>
      <charset val="1"/>
    </font>
    <font>
      <sz val="16"/>
      <color rgb="FF000000"/>
      <name val="Arial"/>
      <family val="1"/>
      <charset val="1"/>
    </font>
    <font>
      <sz val="13"/>
      <name val="Arial"/>
      <family val="1"/>
      <charset val="1"/>
    </font>
    <font>
      <b/>
      <sz val="10"/>
      <color rgb="FFFF0000"/>
      <name val="Calibri"/>
      <family val="2"/>
      <charset val="1"/>
    </font>
    <font>
      <b/>
      <sz val="10"/>
      <color rgb="FF000000"/>
      <name val="Calibri"/>
      <family val="2"/>
      <charset val="1"/>
    </font>
    <font>
      <b/>
      <sz val="9"/>
      <color rgb="FF000000"/>
      <name val="Calibri"/>
      <family val="2"/>
      <charset val="1"/>
    </font>
    <font>
      <sz val="10"/>
      <color rgb="FF000000"/>
      <name val="Calibri"/>
      <family val="2"/>
      <charset val="1"/>
    </font>
    <font>
      <b/>
      <sz val="8"/>
      <name val="Calibri"/>
      <family val="2"/>
      <charset val="1"/>
    </font>
    <font>
      <sz val="8"/>
      <color rgb="FF000000"/>
      <name val="Calibri"/>
      <family val="2"/>
      <charset val="1"/>
    </font>
    <font>
      <sz val="8"/>
      <name val="Calibri"/>
      <family val="2"/>
      <charset val="1"/>
    </font>
    <font>
      <b/>
      <sz val="8"/>
      <color rgb="FF000000"/>
      <name val="Calibri"/>
      <family val="2"/>
      <charset val="1"/>
    </font>
    <font>
      <sz val="11"/>
      <color rgb="FF000000"/>
      <name val="Calibri"/>
      <family val="2"/>
      <charset val="1"/>
    </font>
  </fonts>
  <fills count="8">
    <fill>
      <patternFill patternType="none"/>
    </fill>
    <fill>
      <patternFill patternType="gray125"/>
    </fill>
    <fill>
      <patternFill patternType="solid">
        <fgColor rgb="FFEEEEEE"/>
        <bgColor rgb="FFDFF0D8"/>
      </patternFill>
    </fill>
    <fill>
      <patternFill patternType="solid">
        <fgColor rgb="FFFFFFFF"/>
        <bgColor rgb="FFEEEEEE"/>
      </patternFill>
    </fill>
    <fill>
      <patternFill patternType="solid">
        <fgColor rgb="FFBFBFBF"/>
        <bgColor rgb="FFCCCCCC"/>
      </patternFill>
    </fill>
    <fill>
      <patternFill patternType="solid">
        <fgColor rgb="FFD8ECF6"/>
        <bgColor rgb="FFDFF0D8"/>
      </patternFill>
    </fill>
    <fill>
      <patternFill patternType="solid">
        <fgColor rgb="FFDFF0D8"/>
        <bgColor rgb="FFD8ECF6"/>
      </patternFill>
    </fill>
    <fill>
      <patternFill patternType="solid">
        <fgColor rgb="FFC6D9F1"/>
        <bgColor rgb="FFCCCCCC"/>
      </patternFill>
    </fill>
  </fills>
  <borders count="9">
    <border>
      <left/>
      <right/>
      <top/>
      <bottom/>
      <diagonal/>
    </border>
    <border>
      <left/>
      <right/>
      <top/>
      <bottom style="dotted">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rgb="FFCCCCCC"/>
      </top>
      <bottom style="thin">
        <color rgb="FFCCCCCC"/>
      </bottom>
      <diagonal/>
    </border>
    <border>
      <left/>
      <right/>
      <top/>
      <bottom style="thin">
        <color rgb="FFCCCCCC"/>
      </bottom>
      <diagonal/>
    </border>
    <border>
      <left/>
      <right/>
      <top style="thin">
        <color rgb="FFCCCCCC"/>
      </top>
      <bottom/>
      <diagonal/>
    </border>
  </borders>
  <cellStyleXfs count="4">
    <xf numFmtId="0" fontId="0" fillId="0" borderId="0"/>
    <xf numFmtId="167" fontId="26" fillId="0" borderId="0" applyBorder="0" applyProtection="0"/>
    <xf numFmtId="9" fontId="26" fillId="0" borderId="0" applyBorder="0" applyProtection="0"/>
    <xf numFmtId="0" fontId="26" fillId="0" borderId="0"/>
  </cellStyleXfs>
  <cellXfs count="107">
    <xf numFmtId="0" fontId="0" fillId="0" borderId="0" xfId="0"/>
    <xf numFmtId="0" fontId="26" fillId="0" borderId="0" xfId="3"/>
    <xf numFmtId="0" fontId="1" fillId="0" borderId="0" xfId="3" applyFont="1" applyBorder="1" applyAlignment="1" applyProtection="1">
      <alignment vertical="center"/>
    </xf>
    <xf numFmtId="0" fontId="2" fillId="0" borderId="0" xfId="3" applyFont="1" applyBorder="1" applyAlignment="1" applyProtection="1">
      <alignment vertical="center"/>
    </xf>
    <xf numFmtId="0" fontId="3" fillId="0" borderId="0" xfId="3" applyFont="1" applyProtection="1">
      <protection locked="0"/>
    </xf>
    <xf numFmtId="0" fontId="2" fillId="0" borderId="0" xfId="3" applyFont="1" applyBorder="1" applyAlignment="1" applyProtection="1">
      <alignment horizontal="center" vertical="center"/>
    </xf>
    <xf numFmtId="0" fontId="4" fillId="0" borderId="0" xfId="3" applyFont="1" applyBorder="1" applyAlignment="1" applyProtection="1">
      <alignment vertical="center"/>
    </xf>
    <xf numFmtId="0" fontId="4" fillId="0" borderId="0" xfId="3" applyFont="1" applyBorder="1" applyAlignment="1" applyProtection="1">
      <alignment vertical="center"/>
      <protection locked="0"/>
    </xf>
    <xf numFmtId="0" fontId="5" fillId="0" borderId="0" xfId="3" applyFont="1" applyBorder="1" applyAlignment="1" applyProtection="1">
      <alignment horizontal="center" vertical="center"/>
      <protection locked="0"/>
    </xf>
    <xf numFmtId="0" fontId="3" fillId="0" borderId="0" xfId="3" applyFont="1" applyBorder="1" applyProtection="1"/>
    <xf numFmtId="0" fontId="3" fillId="0" borderId="0" xfId="3" applyFont="1" applyBorder="1" applyAlignment="1" applyProtection="1"/>
    <xf numFmtId="49" fontId="6" fillId="0" borderId="0" xfId="3" applyNumberFormat="1" applyFont="1" applyBorder="1" applyAlignment="1" applyProtection="1">
      <alignment horizontal="left"/>
    </xf>
    <xf numFmtId="49" fontId="7" fillId="0" borderId="1" xfId="3" applyNumberFormat="1" applyFont="1" applyBorder="1" applyAlignment="1" applyProtection="1">
      <alignment horizontal="center"/>
      <protection locked="0"/>
    </xf>
    <xf numFmtId="49" fontId="8" fillId="0" borderId="0" xfId="3" applyNumberFormat="1" applyFont="1" applyBorder="1" applyAlignment="1" applyProtection="1">
      <alignment horizontal="left"/>
    </xf>
    <xf numFmtId="49" fontId="3" fillId="0" borderId="0" xfId="3" applyNumberFormat="1" applyFont="1" applyBorder="1" applyAlignment="1" applyProtection="1"/>
    <xf numFmtId="49" fontId="6" fillId="0" borderId="0" xfId="3" applyNumberFormat="1" applyFont="1" applyBorder="1" applyAlignment="1" applyProtection="1">
      <alignment horizontal="left" wrapText="1"/>
    </xf>
    <xf numFmtId="49" fontId="3" fillId="0" borderId="0" xfId="3" applyNumberFormat="1" applyFont="1" applyBorder="1" applyAlignment="1" applyProtection="1">
      <alignment vertical="center"/>
    </xf>
    <xf numFmtId="0" fontId="9" fillId="0" borderId="2" xfId="3" applyFont="1" applyBorder="1" applyAlignment="1" applyProtection="1">
      <alignment vertical="center"/>
    </xf>
    <xf numFmtId="0" fontId="10" fillId="0" borderId="3" xfId="3" applyFont="1" applyBorder="1" applyAlignment="1" applyProtection="1">
      <alignment vertical="center"/>
    </xf>
    <xf numFmtId="0" fontId="10" fillId="0" borderId="0" xfId="3" applyFont="1" applyBorder="1" applyAlignment="1" applyProtection="1">
      <alignment vertical="center"/>
    </xf>
    <xf numFmtId="2" fontId="11" fillId="2" borderId="4" xfId="3" applyNumberFormat="1" applyFont="1" applyFill="1" applyBorder="1" applyAlignment="1" applyProtection="1">
      <alignment horizontal="center" vertical="center"/>
      <protection locked="0"/>
    </xf>
    <xf numFmtId="0" fontId="12" fillId="0" borderId="0" xfId="3" applyFont="1" applyProtection="1"/>
    <xf numFmtId="164" fontId="3" fillId="0" borderId="0" xfId="3" applyNumberFormat="1" applyFont="1" applyProtection="1">
      <protection locked="0"/>
    </xf>
    <xf numFmtId="0" fontId="14" fillId="0" borderId="0" xfId="3" applyFont="1" applyBorder="1" applyAlignment="1" applyProtection="1">
      <alignment vertical="center"/>
    </xf>
    <xf numFmtId="0" fontId="15" fillId="0" borderId="0" xfId="3" applyFont="1" applyBorder="1" applyProtection="1"/>
    <xf numFmtId="0" fontId="10" fillId="0" borderId="3" xfId="3" applyFont="1" applyBorder="1" applyAlignment="1" applyProtection="1"/>
    <xf numFmtId="0" fontId="10" fillId="0" borderId="0" xfId="3" applyFont="1" applyBorder="1" applyAlignment="1" applyProtection="1"/>
    <xf numFmtId="1" fontId="11" fillId="2" borderId="4" xfId="3" applyNumberFormat="1" applyFont="1" applyFill="1" applyBorder="1" applyAlignment="1" applyProtection="1">
      <alignment horizontal="center" vertical="center"/>
      <protection locked="0"/>
    </xf>
    <xf numFmtId="0" fontId="13" fillId="0" borderId="1" xfId="3" applyFont="1" applyBorder="1" applyAlignment="1" applyProtection="1">
      <alignment horizontal="left" vertical="center"/>
      <protection locked="0"/>
    </xf>
    <xf numFmtId="0" fontId="6" fillId="0" borderId="0" xfId="3" applyFont="1" applyBorder="1" applyProtection="1"/>
    <xf numFmtId="0" fontId="3" fillId="0" borderId="0" xfId="3" applyFont="1" applyBorder="1" applyAlignment="1" applyProtection="1">
      <alignment horizontal="justify" wrapText="1"/>
    </xf>
    <xf numFmtId="0" fontId="3" fillId="0" borderId="0" xfId="3" applyFont="1" applyBorder="1" applyAlignment="1" applyProtection="1">
      <alignment horizontal="left" vertical="center" wrapText="1"/>
    </xf>
    <xf numFmtId="0" fontId="6" fillId="0" borderId="0" xfId="3" applyFont="1" applyBorder="1" applyAlignment="1" applyProtection="1"/>
    <xf numFmtId="0" fontId="6" fillId="0" borderId="0" xfId="3" applyFont="1" applyBorder="1" applyAlignment="1" applyProtection="1">
      <alignment wrapText="1"/>
    </xf>
    <xf numFmtId="0" fontId="6" fillId="0" borderId="0" xfId="3" applyFont="1" applyBorder="1" applyAlignment="1" applyProtection="1">
      <alignment horizontal="left"/>
    </xf>
    <xf numFmtId="0" fontId="3" fillId="0" borderId="0" xfId="3" applyFont="1" applyBorder="1" applyAlignment="1" applyProtection="1">
      <alignment vertical="center"/>
    </xf>
    <xf numFmtId="0" fontId="6" fillId="0" borderId="0" xfId="3" applyFont="1" applyBorder="1" applyAlignment="1" applyProtection="1">
      <alignment horizontal="center" vertical="center"/>
    </xf>
    <xf numFmtId="0" fontId="7" fillId="0" borderId="0" xfId="3" applyFont="1" applyBorder="1" applyAlignment="1" applyProtection="1">
      <alignment horizontal="center" vertical="center"/>
      <protection locked="0"/>
    </xf>
    <xf numFmtId="0" fontId="12" fillId="0" borderId="5" xfId="3" applyFont="1" applyBorder="1" applyProtection="1"/>
    <xf numFmtId="0" fontId="12" fillId="0" borderId="0" xfId="3" applyFont="1" applyBorder="1" applyProtection="1"/>
    <xf numFmtId="0" fontId="3" fillId="0" borderId="0" xfId="3" applyFont="1" applyBorder="1" applyAlignment="1" applyProtection="1">
      <alignment horizontal="center" vertical="center"/>
    </xf>
    <xf numFmtId="0" fontId="15" fillId="0" borderId="0" xfId="3" applyFont="1" applyBorder="1" applyAlignment="1" applyProtection="1">
      <alignment horizontal="center" vertical="center"/>
    </xf>
    <xf numFmtId="0" fontId="17" fillId="0" borderId="0" xfId="3" applyFont="1" applyProtection="1"/>
    <xf numFmtId="0" fontId="3" fillId="0" borderId="0" xfId="3" applyFont="1" applyBorder="1" applyAlignment="1" applyProtection="1">
      <alignment horizontal="center" vertical="center"/>
      <protection locked="0"/>
    </xf>
    <xf numFmtId="0" fontId="3" fillId="0" borderId="0" xfId="3" applyFont="1" applyBorder="1" applyProtection="1">
      <protection locked="0"/>
    </xf>
    <xf numFmtId="0" fontId="0" fillId="3" borderId="0" xfId="0" applyFill="1"/>
    <xf numFmtId="0" fontId="19" fillId="3" borderId="0" xfId="3" applyFont="1" applyFill="1" applyProtection="1"/>
    <xf numFmtId="0" fontId="20" fillId="3" borderId="0" xfId="0" applyFont="1" applyFill="1" applyAlignment="1">
      <alignment vertical="top" wrapText="1"/>
    </xf>
    <xf numFmtId="0" fontId="18" fillId="3" borderId="0" xfId="3" applyFont="1" applyFill="1" applyProtection="1">
      <protection locked="0"/>
    </xf>
    <xf numFmtId="0" fontId="19" fillId="4" borderId="0" xfId="3" applyFont="1" applyFill="1" applyAlignment="1" applyProtection="1">
      <alignment horizontal="center" vertical="center"/>
    </xf>
    <xf numFmtId="2" fontId="19" fillId="4" borderId="0" xfId="3" applyNumberFormat="1" applyFont="1" applyFill="1" applyAlignment="1" applyProtection="1">
      <alignment horizontal="center" vertical="center"/>
    </xf>
    <xf numFmtId="0" fontId="21" fillId="3" borderId="0" xfId="3" applyFont="1" applyFill="1" applyProtection="1"/>
    <xf numFmtId="0" fontId="20" fillId="3" borderId="6" xfId="0" applyFont="1" applyFill="1" applyBorder="1" applyAlignment="1">
      <alignment vertical="top" wrapText="1"/>
    </xf>
    <xf numFmtId="0" fontId="20" fillId="3" borderId="6" xfId="0" applyFont="1" applyFill="1" applyBorder="1" applyAlignment="1">
      <alignment horizontal="right" vertical="top" wrapText="1"/>
    </xf>
    <xf numFmtId="0" fontId="20" fillId="0" borderId="0" xfId="0" applyFont="1"/>
    <xf numFmtId="0" fontId="22" fillId="5" borderId="7" xfId="0" applyFont="1" applyFill="1" applyBorder="1" applyAlignment="1">
      <alignment vertical="top" wrapText="1"/>
    </xf>
    <xf numFmtId="165" fontId="22" fillId="5" borderId="7" xfId="0" applyNumberFormat="1" applyFont="1" applyFill="1" applyBorder="1" applyAlignment="1">
      <alignment horizontal="right" vertical="top" wrapText="1"/>
    </xf>
    <xf numFmtId="4" fontId="22" fillId="5" borderId="7" xfId="0" applyNumberFormat="1" applyFont="1" applyFill="1" applyBorder="1" applyAlignment="1">
      <alignment horizontal="right" vertical="top" wrapText="1"/>
    </xf>
    <xf numFmtId="0" fontId="23" fillId="0" borderId="0" xfId="0" applyFont="1"/>
    <xf numFmtId="0" fontId="24" fillId="6" borderId="7" xfId="0" applyFont="1" applyFill="1" applyBorder="1" applyAlignment="1">
      <alignment vertical="top" wrapText="1"/>
    </xf>
    <xf numFmtId="0" fontId="24" fillId="6" borderId="7" xfId="0" applyFont="1" applyFill="1" applyBorder="1" applyAlignment="1">
      <alignment horizontal="center" vertical="top" wrapText="1"/>
    </xf>
    <xf numFmtId="165" fontId="24" fillId="6" borderId="7" xfId="0" applyNumberFormat="1" applyFont="1" applyFill="1" applyBorder="1" applyAlignment="1">
      <alignment horizontal="right" vertical="top" wrapText="1"/>
    </xf>
    <xf numFmtId="4" fontId="24" fillId="6" borderId="7" xfId="0" applyNumberFormat="1" applyFont="1" applyFill="1" applyBorder="1" applyAlignment="1">
      <alignment horizontal="right" vertical="top" wrapText="1"/>
    </xf>
    <xf numFmtId="0" fontId="24" fillId="6" borderId="7" xfId="0" applyFont="1" applyFill="1" applyBorder="1" applyAlignment="1">
      <alignment vertical="center" wrapText="1"/>
    </xf>
    <xf numFmtId="0" fontId="24" fillId="6" borderId="7" xfId="0" applyFont="1" applyFill="1" applyBorder="1" applyAlignment="1">
      <alignment horizontal="center" vertical="center" wrapText="1"/>
    </xf>
    <xf numFmtId="165" fontId="24" fillId="6" borderId="7" xfId="0" applyNumberFormat="1" applyFont="1" applyFill="1" applyBorder="1" applyAlignment="1">
      <alignment horizontal="right" vertical="center" wrapText="1"/>
    </xf>
    <xf numFmtId="4" fontId="24" fillId="6" borderId="7" xfId="0" applyNumberFormat="1" applyFont="1" applyFill="1" applyBorder="1" applyAlignment="1">
      <alignment horizontal="right" vertical="center" wrapText="1"/>
    </xf>
    <xf numFmtId="0" fontId="0" fillId="0" borderId="0" xfId="0" applyAlignment="1">
      <alignment vertical="center"/>
    </xf>
    <xf numFmtId="2" fontId="0" fillId="0" borderId="0" xfId="0" applyNumberFormat="1"/>
    <xf numFmtId="166" fontId="20" fillId="7" borderId="0" xfId="3" applyNumberFormat="1" applyFont="1" applyFill="1" applyAlignment="1" applyProtection="1">
      <alignment horizontal="right" vertical="top"/>
    </xf>
    <xf numFmtId="0" fontId="0" fillId="0" borderId="0" xfId="0"/>
    <xf numFmtId="166" fontId="20" fillId="0" borderId="0" xfId="3" applyNumberFormat="1" applyFont="1" applyAlignment="1" applyProtection="1">
      <alignment horizontal="right" vertical="top"/>
    </xf>
    <xf numFmtId="0" fontId="0" fillId="0" borderId="0" xfId="0" applyAlignment="1">
      <alignment horizontal="left"/>
    </xf>
    <xf numFmtId="0" fontId="26" fillId="3" borderId="0" xfId="3" applyFill="1" applyProtection="1"/>
    <xf numFmtId="0" fontId="26" fillId="3" borderId="0" xfId="3" applyFill="1" applyAlignment="1" applyProtection="1">
      <alignment horizontal="left"/>
    </xf>
    <xf numFmtId="0" fontId="19" fillId="3" borderId="0" xfId="3" applyFont="1" applyFill="1" applyAlignment="1" applyProtection="1">
      <alignment horizontal="left"/>
    </xf>
    <xf numFmtId="0" fontId="0" fillId="3" borderId="0" xfId="0" applyFill="1" applyAlignment="1">
      <alignment horizontal="left"/>
    </xf>
    <xf numFmtId="0" fontId="0" fillId="3" borderId="0" xfId="0" applyFill="1" applyAlignment="1">
      <alignment horizontal="center" vertical="center"/>
    </xf>
    <xf numFmtId="0" fontId="20" fillId="3" borderId="6" xfId="0" applyFont="1" applyFill="1" applyBorder="1" applyAlignment="1">
      <alignment horizontal="left" vertical="top" wrapText="1"/>
    </xf>
    <xf numFmtId="0" fontId="20" fillId="3" borderId="6" xfId="3" applyFont="1" applyFill="1" applyBorder="1" applyAlignment="1" applyProtection="1">
      <alignment horizontal="right" vertical="top" wrapText="1"/>
    </xf>
    <xf numFmtId="0" fontId="22" fillId="5" borderId="7" xfId="0" applyFont="1" applyFill="1" applyBorder="1" applyAlignment="1">
      <alignment horizontal="left" vertical="top" wrapText="1"/>
    </xf>
    <xf numFmtId="9" fontId="22" fillId="5" borderId="7" xfId="2" applyFont="1" applyFill="1" applyBorder="1" applyAlignment="1" applyProtection="1">
      <alignment vertical="top" wrapText="1"/>
    </xf>
    <xf numFmtId="0" fontId="0" fillId="0" borderId="0" xfId="0" applyAlignment="1">
      <alignment vertical="top"/>
    </xf>
    <xf numFmtId="9" fontId="22" fillId="5" borderId="7" xfId="2" applyFont="1" applyFill="1" applyBorder="1" applyAlignment="1" applyProtection="1">
      <alignment horizontal="right" vertical="top" wrapText="1"/>
    </xf>
    <xf numFmtId="167" fontId="22" fillId="5" borderId="7" xfId="1" applyFont="1" applyFill="1" applyBorder="1" applyAlignment="1" applyProtection="1">
      <alignment vertical="top" wrapText="1"/>
    </xf>
    <xf numFmtId="0" fontId="25" fillId="3" borderId="6" xfId="3" applyFont="1" applyFill="1" applyBorder="1" applyAlignment="1" applyProtection="1">
      <alignment horizontal="right" vertical="top" wrapText="1"/>
    </xf>
    <xf numFmtId="9" fontId="25" fillId="3" borderId="6" xfId="2" applyFont="1" applyFill="1" applyBorder="1" applyAlignment="1" applyProtection="1">
      <alignment vertical="top" wrapText="1"/>
    </xf>
    <xf numFmtId="0" fontId="25" fillId="3" borderId="8" xfId="3" applyFont="1" applyFill="1" applyBorder="1" applyAlignment="1" applyProtection="1">
      <alignment horizontal="right" vertical="top" wrapText="1"/>
    </xf>
    <xf numFmtId="167" fontId="25" fillId="3" borderId="8" xfId="3" applyNumberFormat="1" applyFont="1" applyFill="1" applyBorder="1" applyAlignment="1" applyProtection="1">
      <alignment vertical="top" wrapText="1"/>
    </xf>
    <xf numFmtId="0" fontId="25" fillId="3" borderId="0" xfId="3" applyFont="1" applyFill="1" applyAlignment="1" applyProtection="1">
      <alignment horizontal="right" vertical="top" wrapText="1"/>
    </xf>
    <xf numFmtId="9" fontId="25" fillId="3" borderId="0" xfId="3" applyNumberFormat="1" applyFont="1" applyFill="1" applyAlignment="1" applyProtection="1">
      <alignment vertical="top" wrapText="1"/>
    </xf>
    <xf numFmtId="167" fontId="25" fillId="3" borderId="0" xfId="3" applyNumberFormat="1" applyFont="1" applyFill="1" applyAlignment="1" applyProtection="1">
      <alignment vertical="top" wrapText="1"/>
    </xf>
    <xf numFmtId="166" fontId="25" fillId="3" borderId="0" xfId="3" applyNumberFormat="1" applyFont="1" applyFill="1" applyAlignment="1" applyProtection="1">
      <alignment horizontal="right" vertical="top" wrapText="1"/>
    </xf>
    <xf numFmtId="0" fontId="0" fillId="0" borderId="0" xfId="0" applyFill="1"/>
    <xf numFmtId="49" fontId="7" fillId="0" borderId="1" xfId="3" applyNumberFormat="1" applyFont="1" applyBorder="1" applyAlignment="1" applyProtection="1">
      <alignment horizontal="left"/>
      <protection locked="0"/>
    </xf>
    <xf numFmtId="0" fontId="13" fillId="0" borderId="1" xfId="3" applyFont="1" applyBorder="1" applyAlignment="1" applyProtection="1">
      <alignment horizontal="left" vertical="center" wrapText="1"/>
      <protection locked="0"/>
    </xf>
    <xf numFmtId="0" fontId="16" fillId="0" borderId="4" xfId="3" applyFont="1" applyBorder="1" applyAlignment="1" applyProtection="1">
      <alignment horizontal="justify" vertical="center" wrapText="1"/>
    </xf>
    <xf numFmtId="0" fontId="1" fillId="0" borderId="0" xfId="3" applyFont="1" applyBorder="1" applyAlignment="1" applyProtection="1">
      <alignment horizontal="left" vertical="center"/>
      <protection locked="0"/>
    </xf>
    <xf numFmtId="0" fontId="4" fillId="0" borderId="0" xfId="3" applyFont="1" applyBorder="1" applyAlignment="1" applyProtection="1">
      <alignment horizontal="right" vertical="center"/>
    </xf>
    <xf numFmtId="0" fontId="4" fillId="0" borderId="0" xfId="3" applyFont="1" applyBorder="1" applyAlignment="1" applyProtection="1">
      <alignment horizontal="left" vertical="center"/>
    </xf>
    <xf numFmtId="49" fontId="7" fillId="0" borderId="1" xfId="3" applyNumberFormat="1" applyFont="1" applyBorder="1" applyAlignment="1" applyProtection="1">
      <alignment horizontal="center"/>
      <protection locked="0"/>
    </xf>
    <xf numFmtId="49" fontId="6" fillId="0" borderId="0" xfId="3" applyNumberFormat="1" applyFont="1" applyBorder="1" applyAlignment="1" applyProtection="1">
      <alignment horizontal="left"/>
    </xf>
    <xf numFmtId="0" fontId="18" fillId="3" borderId="0" xfId="3" applyFont="1" applyFill="1" applyBorder="1" applyAlignment="1" applyProtection="1">
      <alignment horizontal="left" vertical="center"/>
      <protection locked="0"/>
    </xf>
    <xf numFmtId="0" fontId="20" fillId="3" borderId="0" xfId="0" applyFont="1" applyFill="1" applyBorder="1" applyAlignment="1">
      <alignment vertical="top" wrapText="1"/>
    </xf>
    <xf numFmtId="0" fontId="20" fillId="3" borderId="0" xfId="0" applyFont="1" applyFill="1" applyBorder="1" applyAlignment="1">
      <alignment horizontal="center" vertical="top" wrapText="1"/>
    </xf>
    <xf numFmtId="0" fontId="20" fillId="7" borderId="0" xfId="3" applyFont="1" applyFill="1" applyBorder="1" applyAlignment="1" applyProtection="1">
      <alignment horizontal="right" vertical="top" wrapText="1"/>
    </xf>
    <xf numFmtId="0" fontId="20" fillId="3" borderId="7" xfId="3" applyFont="1" applyFill="1" applyBorder="1" applyAlignment="1" applyProtection="1">
      <alignment horizontal="left" vertical="top" wrapText="1"/>
    </xf>
  </cellXfs>
  <cellStyles count="4">
    <cellStyle name="Moeda" xfId="1" builtinId="4"/>
    <cellStyle name="Normal" xfId="0" builtinId="0"/>
    <cellStyle name="Porcentagem" xfId="2" builtinId="5"/>
    <cellStyle name="Texto Explicativo" xfId="3" builtinId="53" customBuiltin="1"/>
  </cellStyles>
  <dxfs count="6">
    <dxf>
      <font>
        <name val="Arial"/>
      </font>
    </dxf>
    <dxf>
      <font>
        <name val="Arial"/>
      </font>
    </dxf>
    <dxf>
      <font>
        <name val="Arial"/>
      </font>
    </dxf>
    <dxf>
      <font>
        <name val="Arial"/>
      </font>
    </dxf>
    <dxf>
      <font>
        <name val="Arial"/>
      </font>
    </dxf>
    <dxf>
      <font>
        <name val="Arial"/>
      </font>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EEEEEE"/>
      <rgbColor rgb="FFD8ECF6"/>
      <rgbColor rgb="FF660066"/>
      <rgbColor rgb="FFFF8080"/>
      <rgbColor rgb="FF0066CC"/>
      <rgbColor rgb="FFC6D9F1"/>
      <rgbColor rgb="FF000080"/>
      <rgbColor rgb="FFFF00FF"/>
      <rgbColor rgb="FFFFFF00"/>
      <rgbColor rgb="FF00FFFF"/>
      <rgbColor rgb="FF800080"/>
      <rgbColor rgb="FF800000"/>
      <rgbColor rgb="FF008080"/>
      <rgbColor rgb="FF0000FF"/>
      <rgbColor rgb="FF00CCFF"/>
      <rgbColor rgb="FFCCFFFF"/>
      <rgbColor rgb="FFDFF0D8"/>
      <rgbColor rgb="FFFFFF99"/>
      <rgbColor rgb="FFCCCCCC"/>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135000</xdr:colOff>
      <xdr:row>0</xdr:row>
      <xdr:rowOff>0</xdr:rowOff>
    </xdr:from>
    <xdr:to>
      <xdr:col>7</xdr:col>
      <xdr:colOff>1218960</xdr:colOff>
      <xdr:row>30</xdr:row>
      <xdr:rowOff>102960</xdr:rowOff>
    </xdr:to>
    <xdr:sp macro="" textlink="">
      <xdr:nvSpPr>
        <xdr:cNvPr id="2" name="CustomShape 1" hidden="1">
          <a:extLst>
            <a:ext uri="{FF2B5EF4-FFF2-40B4-BE49-F238E27FC236}">
              <a16:creationId xmlns:a16="http://schemas.microsoft.com/office/drawing/2014/main" id="{00000000-0008-0000-0000-000002000000}"/>
            </a:ext>
          </a:extLst>
        </xdr:cNvPr>
        <xdr:cNvSpPr/>
      </xdr:nvSpPr>
      <xdr:spPr>
        <a:xfrm>
          <a:off x="135000" y="0"/>
          <a:ext cx="9446760" cy="958644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135000</xdr:colOff>
      <xdr:row>0</xdr:row>
      <xdr:rowOff>0</xdr:rowOff>
    </xdr:from>
    <xdr:to>
      <xdr:col>7</xdr:col>
      <xdr:colOff>1218960</xdr:colOff>
      <xdr:row>30</xdr:row>
      <xdr:rowOff>102960</xdr:rowOff>
    </xdr:to>
    <xdr:sp macro="" textlink="">
      <xdr:nvSpPr>
        <xdr:cNvPr id="3" name="CustomShape 1" hidden="1">
          <a:extLst>
            <a:ext uri="{FF2B5EF4-FFF2-40B4-BE49-F238E27FC236}">
              <a16:creationId xmlns:a16="http://schemas.microsoft.com/office/drawing/2014/main" id="{00000000-0008-0000-0000-000003000000}"/>
            </a:ext>
          </a:extLst>
        </xdr:cNvPr>
        <xdr:cNvSpPr/>
      </xdr:nvSpPr>
      <xdr:spPr>
        <a:xfrm>
          <a:off x="135000" y="0"/>
          <a:ext cx="9446760" cy="958644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135000</xdr:colOff>
      <xdr:row>0</xdr:row>
      <xdr:rowOff>0</xdr:rowOff>
    </xdr:from>
    <xdr:to>
      <xdr:col>7</xdr:col>
      <xdr:colOff>1218960</xdr:colOff>
      <xdr:row>30</xdr:row>
      <xdr:rowOff>102960</xdr:rowOff>
    </xdr:to>
    <xdr:sp macro="" textlink="">
      <xdr:nvSpPr>
        <xdr:cNvPr id="4" name="CustomShape 1" hidden="1">
          <a:extLst>
            <a:ext uri="{FF2B5EF4-FFF2-40B4-BE49-F238E27FC236}">
              <a16:creationId xmlns:a16="http://schemas.microsoft.com/office/drawing/2014/main" id="{00000000-0008-0000-0000-000004000000}"/>
            </a:ext>
          </a:extLst>
        </xdr:cNvPr>
        <xdr:cNvSpPr/>
      </xdr:nvSpPr>
      <xdr:spPr>
        <a:xfrm>
          <a:off x="135000" y="0"/>
          <a:ext cx="9446760" cy="958644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135000</xdr:colOff>
      <xdr:row>0</xdr:row>
      <xdr:rowOff>0</xdr:rowOff>
    </xdr:from>
    <xdr:to>
      <xdr:col>7</xdr:col>
      <xdr:colOff>1218960</xdr:colOff>
      <xdr:row>30</xdr:row>
      <xdr:rowOff>102960</xdr:rowOff>
    </xdr:to>
    <xdr:sp macro="" textlink="">
      <xdr:nvSpPr>
        <xdr:cNvPr id="5" name="CustomShape 1" hidden="1">
          <a:extLst>
            <a:ext uri="{FF2B5EF4-FFF2-40B4-BE49-F238E27FC236}">
              <a16:creationId xmlns:a16="http://schemas.microsoft.com/office/drawing/2014/main" id="{00000000-0008-0000-0000-000005000000}"/>
            </a:ext>
          </a:extLst>
        </xdr:cNvPr>
        <xdr:cNvSpPr/>
      </xdr:nvSpPr>
      <xdr:spPr>
        <a:xfrm>
          <a:off x="135000" y="0"/>
          <a:ext cx="9446760" cy="958644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135000</xdr:colOff>
      <xdr:row>0</xdr:row>
      <xdr:rowOff>0</xdr:rowOff>
    </xdr:from>
    <xdr:to>
      <xdr:col>7</xdr:col>
      <xdr:colOff>1218960</xdr:colOff>
      <xdr:row>30</xdr:row>
      <xdr:rowOff>102960</xdr:rowOff>
    </xdr:to>
    <xdr:sp macro="" textlink="">
      <xdr:nvSpPr>
        <xdr:cNvPr id="6" name="CustomShape 1" hidden="1">
          <a:extLst>
            <a:ext uri="{FF2B5EF4-FFF2-40B4-BE49-F238E27FC236}">
              <a16:creationId xmlns:a16="http://schemas.microsoft.com/office/drawing/2014/main" id="{00000000-0008-0000-0000-000006000000}"/>
            </a:ext>
          </a:extLst>
        </xdr:cNvPr>
        <xdr:cNvSpPr/>
      </xdr:nvSpPr>
      <xdr:spPr>
        <a:xfrm>
          <a:off x="135000" y="0"/>
          <a:ext cx="9446760" cy="958644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135000</xdr:colOff>
      <xdr:row>0</xdr:row>
      <xdr:rowOff>0</xdr:rowOff>
    </xdr:from>
    <xdr:to>
      <xdr:col>7</xdr:col>
      <xdr:colOff>1218960</xdr:colOff>
      <xdr:row>30</xdr:row>
      <xdr:rowOff>102960</xdr:rowOff>
    </xdr:to>
    <xdr:sp macro="" textlink="">
      <xdr:nvSpPr>
        <xdr:cNvPr id="7" name="CustomShape 1" hidden="1">
          <a:extLst>
            <a:ext uri="{FF2B5EF4-FFF2-40B4-BE49-F238E27FC236}">
              <a16:creationId xmlns:a16="http://schemas.microsoft.com/office/drawing/2014/main" id="{00000000-0008-0000-0000-000007000000}"/>
            </a:ext>
          </a:extLst>
        </xdr:cNvPr>
        <xdr:cNvSpPr/>
      </xdr:nvSpPr>
      <xdr:spPr>
        <a:xfrm>
          <a:off x="135000" y="0"/>
          <a:ext cx="9446760" cy="958644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135000</xdr:colOff>
      <xdr:row>0</xdr:row>
      <xdr:rowOff>0</xdr:rowOff>
    </xdr:from>
    <xdr:to>
      <xdr:col>7</xdr:col>
      <xdr:colOff>1218960</xdr:colOff>
      <xdr:row>30</xdr:row>
      <xdr:rowOff>102960</xdr:rowOff>
    </xdr:to>
    <xdr:sp macro="" textlink="">
      <xdr:nvSpPr>
        <xdr:cNvPr id="8" name="CustomShape 1" hidden="1">
          <a:extLst>
            <a:ext uri="{FF2B5EF4-FFF2-40B4-BE49-F238E27FC236}">
              <a16:creationId xmlns:a16="http://schemas.microsoft.com/office/drawing/2014/main" id="{00000000-0008-0000-0000-000008000000}"/>
            </a:ext>
          </a:extLst>
        </xdr:cNvPr>
        <xdr:cNvSpPr/>
      </xdr:nvSpPr>
      <xdr:spPr>
        <a:xfrm>
          <a:off x="135000" y="0"/>
          <a:ext cx="9446760" cy="958644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135000</xdr:colOff>
      <xdr:row>0</xdr:row>
      <xdr:rowOff>0</xdr:rowOff>
    </xdr:from>
    <xdr:to>
      <xdr:col>7</xdr:col>
      <xdr:colOff>1218960</xdr:colOff>
      <xdr:row>30</xdr:row>
      <xdr:rowOff>102960</xdr:rowOff>
    </xdr:to>
    <xdr:sp macro="" textlink="">
      <xdr:nvSpPr>
        <xdr:cNvPr id="9" name="CustomShape 1" hidden="1">
          <a:extLst>
            <a:ext uri="{FF2B5EF4-FFF2-40B4-BE49-F238E27FC236}">
              <a16:creationId xmlns:a16="http://schemas.microsoft.com/office/drawing/2014/main" id="{00000000-0008-0000-0000-000009000000}"/>
            </a:ext>
          </a:extLst>
        </xdr:cNvPr>
        <xdr:cNvSpPr/>
      </xdr:nvSpPr>
      <xdr:spPr>
        <a:xfrm>
          <a:off x="135000" y="0"/>
          <a:ext cx="9446760" cy="958644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135000</xdr:colOff>
      <xdr:row>0</xdr:row>
      <xdr:rowOff>0</xdr:rowOff>
    </xdr:from>
    <xdr:to>
      <xdr:col>7</xdr:col>
      <xdr:colOff>1218960</xdr:colOff>
      <xdr:row>30</xdr:row>
      <xdr:rowOff>102960</xdr:rowOff>
    </xdr:to>
    <xdr:sp macro="" textlink="">
      <xdr:nvSpPr>
        <xdr:cNvPr id="10" name="CustomShape 1" hidden="1">
          <a:extLst>
            <a:ext uri="{FF2B5EF4-FFF2-40B4-BE49-F238E27FC236}">
              <a16:creationId xmlns:a16="http://schemas.microsoft.com/office/drawing/2014/main" id="{00000000-0008-0000-0000-00000A000000}"/>
            </a:ext>
          </a:extLst>
        </xdr:cNvPr>
        <xdr:cNvSpPr/>
      </xdr:nvSpPr>
      <xdr:spPr>
        <a:xfrm>
          <a:off x="135000" y="0"/>
          <a:ext cx="9446760" cy="958644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135000</xdr:colOff>
      <xdr:row>0</xdr:row>
      <xdr:rowOff>0</xdr:rowOff>
    </xdr:from>
    <xdr:to>
      <xdr:col>7</xdr:col>
      <xdr:colOff>1218960</xdr:colOff>
      <xdr:row>30</xdr:row>
      <xdr:rowOff>102960</xdr:rowOff>
    </xdr:to>
    <xdr:sp macro="" textlink="">
      <xdr:nvSpPr>
        <xdr:cNvPr id="11" name="CustomShape 1" hidden="1">
          <a:extLst>
            <a:ext uri="{FF2B5EF4-FFF2-40B4-BE49-F238E27FC236}">
              <a16:creationId xmlns:a16="http://schemas.microsoft.com/office/drawing/2014/main" id="{00000000-0008-0000-0000-00000B000000}"/>
            </a:ext>
          </a:extLst>
        </xdr:cNvPr>
        <xdr:cNvSpPr/>
      </xdr:nvSpPr>
      <xdr:spPr>
        <a:xfrm>
          <a:off x="135000" y="0"/>
          <a:ext cx="9446760" cy="958644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135000</xdr:colOff>
      <xdr:row>0</xdr:row>
      <xdr:rowOff>0</xdr:rowOff>
    </xdr:from>
    <xdr:to>
      <xdr:col>7</xdr:col>
      <xdr:colOff>1218960</xdr:colOff>
      <xdr:row>30</xdr:row>
      <xdr:rowOff>102960</xdr:rowOff>
    </xdr:to>
    <xdr:sp macro="" textlink="">
      <xdr:nvSpPr>
        <xdr:cNvPr id="12" name="CustomShape 1" hidden="1">
          <a:extLst>
            <a:ext uri="{FF2B5EF4-FFF2-40B4-BE49-F238E27FC236}">
              <a16:creationId xmlns:a16="http://schemas.microsoft.com/office/drawing/2014/main" id="{00000000-0008-0000-0000-00000C000000}"/>
            </a:ext>
          </a:extLst>
        </xdr:cNvPr>
        <xdr:cNvSpPr/>
      </xdr:nvSpPr>
      <xdr:spPr>
        <a:xfrm>
          <a:off x="135000" y="0"/>
          <a:ext cx="9446760" cy="958644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135000</xdr:colOff>
      <xdr:row>0</xdr:row>
      <xdr:rowOff>0</xdr:rowOff>
    </xdr:from>
    <xdr:to>
      <xdr:col>7</xdr:col>
      <xdr:colOff>1218960</xdr:colOff>
      <xdr:row>30</xdr:row>
      <xdr:rowOff>102960</xdr:rowOff>
    </xdr:to>
    <xdr:sp macro="" textlink="">
      <xdr:nvSpPr>
        <xdr:cNvPr id="13" name="CustomShape 1" hidden="1">
          <a:extLst>
            <a:ext uri="{FF2B5EF4-FFF2-40B4-BE49-F238E27FC236}">
              <a16:creationId xmlns:a16="http://schemas.microsoft.com/office/drawing/2014/main" id="{00000000-0008-0000-0000-00000D000000}"/>
            </a:ext>
          </a:extLst>
        </xdr:cNvPr>
        <xdr:cNvSpPr/>
      </xdr:nvSpPr>
      <xdr:spPr>
        <a:xfrm>
          <a:off x="135000" y="0"/>
          <a:ext cx="9446760" cy="958644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135000</xdr:colOff>
      <xdr:row>0</xdr:row>
      <xdr:rowOff>0</xdr:rowOff>
    </xdr:from>
    <xdr:to>
      <xdr:col>7</xdr:col>
      <xdr:colOff>1218960</xdr:colOff>
      <xdr:row>30</xdr:row>
      <xdr:rowOff>102960</xdr:rowOff>
    </xdr:to>
    <xdr:sp macro="" textlink="">
      <xdr:nvSpPr>
        <xdr:cNvPr id="14" name="CustomShape 1" hidden="1">
          <a:extLst>
            <a:ext uri="{FF2B5EF4-FFF2-40B4-BE49-F238E27FC236}">
              <a16:creationId xmlns:a16="http://schemas.microsoft.com/office/drawing/2014/main" id="{00000000-0008-0000-0000-00000E000000}"/>
            </a:ext>
          </a:extLst>
        </xdr:cNvPr>
        <xdr:cNvSpPr/>
      </xdr:nvSpPr>
      <xdr:spPr>
        <a:xfrm>
          <a:off x="135000" y="0"/>
          <a:ext cx="9446760" cy="958644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135000</xdr:colOff>
      <xdr:row>0</xdr:row>
      <xdr:rowOff>0</xdr:rowOff>
    </xdr:from>
    <xdr:to>
      <xdr:col>7</xdr:col>
      <xdr:colOff>1218960</xdr:colOff>
      <xdr:row>30</xdr:row>
      <xdr:rowOff>102960</xdr:rowOff>
    </xdr:to>
    <xdr:sp macro="" textlink="">
      <xdr:nvSpPr>
        <xdr:cNvPr id="15" name="CustomShape 1" hidden="1">
          <a:extLst>
            <a:ext uri="{FF2B5EF4-FFF2-40B4-BE49-F238E27FC236}">
              <a16:creationId xmlns:a16="http://schemas.microsoft.com/office/drawing/2014/main" id="{00000000-0008-0000-0000-00000F000000}"/>
            </a:ext>
          </a:extLst>
        </xdr:cNvPr>
        <xdr:cNvSpPr/>
      </xdr:nvSpPr>
      <xdr:spPr>
        <a:xfrm>
          <a:off x="135000" y="0"/>
          <a:ext cx="9446760" cy="958644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27000</xdr:colOff>
      <xdr:row>0</xdr:row>
      <xdr:rowOff>0</xdr:rowOff>
    </xdr:from>
    <xdr:to>
      <xdr:col>7</xdr:col>
      <xdr:colOff>1550520</xdr:colOff>
      <xdr:row>30</xdr:row>
      <xdr:rowOff>104400</xdr:rowOff>
    </xdr:to>
    <xdr:sp macro="" textlink="">
      <xdr:nvSpPr>
        <xdr:cNvPr id="16" name="CustomShape 1" hidden="1">
          <a:extLst>
            <a:ext uri="{FF2B5EF4-FFF2-40B4-BE49-F238E27FC236}">
              <a16:creationId xmlns:a16="http://schemas.microsoft.com/office/drawing/2014/main" id="{00000000-0008-0000-0000-000010000000}"/>
            </a:ext>
          </a:extLst>
        </xdr:cNvPr>
        <xdr:cNvSpPr/>
      </xdr:nvSpPr>
      <xdr:spPr>
        <a:xfrm>
          <a:off x="27000" y="0"/>
          <a:ext cx="9886320" cy="95878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27000</xdr:colOff>
      <xdr:row>0</xdr:row>
      <xdr:rowOff>0</xdr:rowOff>
    </xdr:from>
    <xdr:to>
      <xdr:col>7</xdr:col>
      <xdr:colOff>1550520</xdr:colOff>
      <xdr:row>30</xdr:row>
      <xdr:rowOff>104400</xdr:rowOff>
    </xdr:to>
    <xdr:sp macro="" textlink="">
      <xdr:nvSpPr>
        <xdr:cNvPr id="17" name="CustomShape 1" hidden="1">
          <a:extLst>
            <a:ext uri="{FF2B5EF4-FFF2-40B4-BE49-F238E27FC236}">
              <a16:creationId xmlns:a16="http://schemas.microsoft.com/office/drawing/2014/main" id="{00000000-0008-0000-0000-000011000000}"/>
            </a:ext>
          </a:extLst>
        </xdr:cNvPr>
        <xdr:cNvSpPr/>
      </xdr:nvSpPr>
      <xdr:spPr>
        <a:xfrm>
          <a:off x="27000" y="0"/>
          <a:ext cx="9886320" cy="95878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27000</xdr:colOff>
      <xdr:row>0</xdr:row>
      <xdr:rowOff>0</xdr:rowOff>
    </xdr:from>
    <xdr:to>
      <xdr:col>7</xdr:col>
      <xdr:colOff>1550520</xdr:colOff>
      <xdr:row>30</xdr:row>
      <xdr:rowOff>104400</xdr:rowOff>
    </xdr:to>
    <xdr:sp macro="" textlink="">
      <xdr:nvSpPr>
        <xdr:cNvPr id="18" name="CustomShape 1" hidden="1">
          <a:extLst>
            <a:ext uri="{FF2B5EF4-FFF2-40B4-BE49-F238E27FC236}">
              <a16:creationId xmlns:a16="http://schemas.microsoft.com/office/drawing/2014/main" id="{00000000-0008-0000-0000-000012000000}"/>
            </a:ext>
          </a:extLst>
        </xdr:cNvPr>
        <xdr:cNvSpPr/>
      </xdr:nvSpPr>
      <xdr:spPr>
        <a:xfrm>
          <a:off x="27000" y="0"/>
          <a:ext cx="9886320" cy="95878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27000</xdr:colOff>
      <xdr:row>0</xdr:row>
      <xdr:rowOff>0</xdr:rowOff>
    </xdr:from>
    <xdr:to>
      <xdr:col>7</xdr:col>
      <xdr:colOff>1550520</xdr:colOff>
      <xdr:row>30</xdr:row>
      <xdr:rowOff>104400</xdr:rowOff>
    </xdr:to>
    <xdr:sp macro="" textlink="">
      <xdr:nvSpPr>
        <xdr:cNvPr id="19" name="CustomShape 1" hidden="1">
          <a:extLst>
            <a:ext uri="{FF2B5EF4-FFF2-40B4-BE49-F238E27FC236}">
              <a16:creationId xmlns:a16="http://schemas.microsoft.com/office/drawing/2014/main" id="{00000000-0008-0000-0000-000013000000}"/>
            </a:ext>
          </a:extLst>
        </xdr:cNvPr>
        <xdr:cNvSpPr/>
      </xdr:nvSpPr>
      <xdr:spPr>
        <a:xfrm>
          <a:off x="27000" y="0"/>
          <a:ext cx="9886320" cy="95878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27000</xdr:colOff>
      <xdr:row>0</xdr:row>
      <xdr:rowOff>0</xdr:rowOff>
    </xdr:from>
    <xdr:to>
      <xdr:col>7</xdr:col>
      <xdr:colOff>1550520</xdr:colOff>
      <xdr:row>30</xdr:row>
      <xdr:rowOff>104400</xdr:rowOff>
    </xdr:to>
    <xdr:sp macro="" textlink="">
      <xdr:nvSpPr>
        <xdr:cNvPr id="20" name="CustomShape 1" hidden="1">
          <a:extLst>
            <a:ext uri="{FF2B5EF4-FFF2-40B4-BE49-F238E27FC236}">
              <a16:creationId xmlns:a16="http://schemas.microsoft.com/office/drawing/2014/main" id="{00000000-0008-0000-0000-000014000000}"/>
            </a:ext>
          </a:extLst>
        </xdr:cNvPr>
        <xdr:cNvSpPr/>
      </xdr:nvSpPr>
      <xdr:spPr>
        <a:xfrm>
          <a:off x="27000" y="0"/>
          <a:ext cx="9886320" cy="95878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27000</xdr:colOff>
      <xdr:row>0</xdr:row>
      <xdr:rowOff>0</xdr:rowOff>
    </xdr:from>
    <xdr:to>
      <xdr:col>7</xdr:col>
      <xdr:colOff>1550520</xdr:colOff>
      <xdr:row>30</xdr:row>
      <xdr:rowOff>104400</xdr:rowOff>
    </xdr:to>
    <xdr:sp macro="" textlink="">
      <xdr:nvSpPr>
        <xdr:cNvPr id="21" name="CustomShape 1" hidden="1">
          <a:extLst>
            <a:ext uri="{FF2B5EF4-FFF2-40B4-BE49-F238E27FC236}">
              <a16:creationId xmlns:a16="http://schemas.microsoft.com/office/drawing/2014/main" id="{00000000-0008-0000-0000-000015000000}"/>
            </a:ext>
          </a:extLst>
        </xdr:cNvPr>
        <xdr:cNvSpPr/>
      </xdr:nvSpPr>
      <xdr:spPr>
        <a:xfrm>
          <a:off x="27000" y="0"/>
          <a:ext cx="9886320" cy="95878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27000</xdr:colOff>
      <xdr:row>0</xdr:row>
      <xdr:rowOff>0</xdr:rowOff>
    </xdr:from>
    <xdr:to>
      <xdr:col>7</xdr:col>
      <xdr:colOff>1550520</xdr:colOff>
      <xdr:row>30</xdr:row>
      <xdr:rowOff>104400</xdr:rowOff>
    </xdr:to>
    <xdr:sp macro="" textlink="">
      <xdr:nvSpPr>
        <xdr:cNvPr id="22" name="CustomShape 1" hidden="1">
          <a:extLst>
            <a:ext uri="{FF2B5EF4-FFF2-40B4-BE49-F238E27FC236}">
              <a16:creationId xmlns:a16="http://schemas.microsoft.com/office/drawing/2014/main" id="{00000000-0008-0000-0000-000016000000}"/>
            </a:ext>
          </a:extLst>
        </xdr:cNvPr>
        <xdr:cNvSpPr/>
      </xdr:nvSpPr>
      <xdr:spPr>
        <a:xfrm>
          <a:off x="27000" y="0"/>
          <a:ext cx="9886320" cy="95878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27000</xdr:colOff>
      <xdr:row>0</xdr:row>
      <xdr:rowOff>0</xdr:rowOff>
    </xdr:from>
    <xdr:to>
      <xdr:col>7</xdr:col>
      <xdr:colOff>1550520</xdr:colOff>
      <xdr:row>30</xdr:row>
      <xdr:rowOff>104400</xdr:rowOff>
    </xdr:to>
    <xdr:sp macro="" textlink="">
      <xdr:nvSpPr>
        <xdr:cNvPr id="23" name="CustomShape 1" hidden="1">
          <a:extLst>
            <a:ext uri="{FF2B5EF4-FFF2-40B4-BE49-F238E27FC236}">
              <a16:creationId xmlns:a16="http://schemas.microsoft.com/office/drawing/2014/main" id="{00000000-0008-0000-0000-000017000000}"/>
            </a:ext>
          </a:extLst>
        </xdr:cNvPr>
        <xdr:cNvSpPr/>
      </xdr:nvSpPr>
      <xdr:spPr>
        <a:xfrm>
          <a:off x="27000" y="0"/>
          <a:ext cx="9886320" cy="95878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27000</xdr:colOff>
      <xdr:row>0</xdr:row>
      <xdr:rowOff>0</xdr:rowOff>
    </xdr:from>
    <xdr:to>
      <xdr:col>7</xdr:col>
      <xdr:colOff>1550520</xdr:colOff>
      <xdr:row>30</xdr:row>
      <xdr:rowOff>104400</xdr:rowOff>
    </xdr:to>
    <xdr:sp macro="" textlink="">
      <xdr:nvSpPr>
        <xdr:cNvPr id="24" name="CustomShape 1" hidden="1">
          <a:extLst>
            <a:ext uri="{FF2B5EF4-FFF2-40B4-BE49-F238E27FC236}">
              <a16:creationId xmlns:a16="http://schemas.microsoft.com/office/drawing/2014/main" id="{00000000-0008-0000-0000-000018000000}"/>
            </a:ext>
          </a:extLst>
        </xdr:cNvPr>
        <xdr:cNvSpPr/>
      </xdr:nvSpPr>
      <xdr:spPr>
        <a:xfrm>
          <a:off x="27000" y="0"/>
          <a:ext cx="9886320" cy="95878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27000</xdr:colOff>
      <xdr:row>0</xdr:row>
      <xdr:rowOff>0</xdr:rowOff>
    </xdr:from>
    <xdr:to>
      <xdr:col>7</xdr:col>
      <xdr:colOff>1550520</xdr:colOff>
      <xdr:row>30</xdr:row>
      <xdr:rowOff>104400</xdr:rowOff>
    </xdr:to>
    <xdr:sp macro="" textlink="">
      <xdr:nvSpPr>
        <xdr:cNvPr id="25" name="CustomShape 1" hidden="1">
          <a:extLst>
            <a:ext uri="{FF2B5EF4-FFF2-40B4-BE49-F238E27FC236}">
              <a16:creationId xmlns:a16="http://schemas.microsoft.com/office/drawing/2014/main" id="{00000000-0008-0000-0000-000019000000}"/>
            </a:ext>
          </a:extLst>
        </xdr:cNvPr>
        <xdr:cNvSpPr/>
      </xdr:nvSpPr>
      <xdr:spPr>
        <a:xfrm>
          <a:off x="27000" y="0"/>
          <a:ext cx="9886320" cy="95878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27000</xdr:colOff>
      <xdr:row>0</xdr:row>
      <xdr:rowOff>0</xdr:rowOff>
    </xdr:from>
    <xdr:to>
      <xdr:col>7</xdr:col>
      <xdr:colOff>1550520</xdr:colOff>
      <xdr:row>30</xdr:row>
      <xdr:rowOff>104400</xdr:rowOff>
    </xdr:to>
    <xdr:sp macro="" textlink="">
      <xdr:nvSpPr>
        <xdr:cNvPr id="26" name="CustomShape 1" hidden="1">
          <a:extLst>
            <a:ext uri="{FF2B5EF4-FFF2-40B4-BE49-F238E27FC236}">
              <a16:creationId xmlns:a16="http://schemas.microsoft.com/office/drawing/2014/main" id="{00000000-0008-0000-0000-00001A000000}"/>
            </a:ext>
          </a:extLst>
        </xdr:cNvPr>
        <xdr:cNvSpPr/>
      </xdr:nvSpPr>
      <xdr:spPr>
        <a:xfrm>
          <a:off x="27000" y="0"/>
          <a:ext cx="9886320" cy="95878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27000</xdr:colOff>
      <xdr:row>0</xdr:row>
      <xdr:rowOff>0</xdr:rowOff>
    </xdr:from>
    <xdr:to>
      <xdr:col>7</xdr:col>
      <xdr:colOff>1550520</xdr:colOff>
      <xdr:row>30</xdr:row>
      <xdr:rowOff>104400</xdr:rowOff>
    </xdr:to>
    <xdr:sp macro="" textlink="">
      <xdr:nvSpPr>
        <xdr:cNvPr id="27" name="CustomShape 1" hidden="1">
          <a:extLst>
            <a:ext uri="{FF2B5EF4-FFF2-40B4-BE49-F238E27FC236}">
              <a16:creationId xmlns:a16="http://schemas.microsoft.com/office/drawing/2014/main" id="{00000000-0008-0000-0000-00001B000000}"/>
            </a:ext>
          </a:extLst>
        </xdr:cNvPr>
        <xdr:cNvSpPr/>
      </xdr:nvSpPr>
      <xdr:spPr>
        <a:xfrm>
          <a:off x="27000" y="0"/>
          <a:ext cx="9886320" cy="95878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27000</xdr:colOff>
      <xdr:row>0</xdr:row>
      <xdr:rowOff>0</xdr:rowOff>
    </xdr:from>
    <xdr:to>
      <xdr:col>7</xdr:col>
      <xdr:colOff>1550520</xdr:colOff>
      <xdr:row>30</xdr:row>
      <xdr:rowOff>104400</xdr:rowOff>
    </xdr:to>
    <xdr:sp macro="" textlink="">
      <xdr:nvSpPr>
        <xdr:cNvPr id="28" name="CustomShape 1" hidden="1">
          <a:extLst>
            <a:ext uri="{FF2B5EF4-FFF2-40B4-BE49-F238E27FC236}">
              <a16:creationId xmlns:a16="http://schemas.microsoft.com/office/drawing/2014/main" id="{00000000-0008-0000-0000-00001C000000}"/>
            </a:ext>
          </a:extLst>
        </xdr:cNvPr>
        <xdr:cNvSpPr/>
      </xdr:nvSpPr>
      <xdr:spPr>
        <a:xfrm>
          <a:off x="27000" y="0"/>
          <a:ext cx="9886320" cy="95878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27000</xdr:colOff>
      <xdr:row>0</xdr:row>
      <xdr:rowOff>0</xdr:rowOff>
    </xdr:from>
    <xdr:to>
      <xdr:col>7</xdr:col>
      <xdr:colOff>1550520</xdr:colOff>
      <xdr:row>30</xdr:row>
      <xdr:rowOff>104400</xdr:rowOff>
    </xdr:to>
    <xdr:sp macro="" textlink="">
      <xdr:nvSpPr>
        <xdr:cNvPr id="29" name="CustomShape 1" hidden="1">
          <a:extLst>
            <a:ext uri="{FF2B5EF4-FFF2-40B4-BE49-F238E27FC236}">
              <a16:creationId xmlns:a16="http://schemas.microsoft.com/office/drawing/2014/main" id="{00000000-0008-0000-0000-00001D000000}"/>
            </a:ext>
          </a:extLst>
        </xdr:cNvPr>
        <xdr:cNvSpPr/>
      </xdr:nvSpPr>
      <xdr:spPr>
        <a:xfrm>
          <a:off x="27000" y="0"/>
          <a:ext cx="9886320" cy="95878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7</xdr:col>
      <xdr:colOff>1628775</xdr:colOff>
      <xdr:row>30</xdr:row>
      <xdr:rowOff>104775</xdr:rowOff>
    </xdr:to>
    <xdr:sp macro="" textlink="">
      <xdr:nvSpPr>
        <xdr:cNvPr id="1052" name="shapetype_202" hidden="1">
          <a:extLst>
            <a:ext uri="{FF2B5EF4-FFF2-40B4-BE49-F238E27FC236}">
              <a16:creationId xmlns:a16="http://schemas.microsoft.com/office/drawing/2014/main" id="{00000000-0008-0000-0000-00001C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1628775</xdr:colOff>
      <xdr:row>30</xdr:row>
      <xdr:rowOff>104775</xdr:rowOff>
    </xdr:to>
    <xdr:sp macro="" textlink="">
      <xdr:nvSpPr>
        <xdr:cNvPr id="1050" name="shapetype_202" hidden="1">
          <a:extLst>
            <a:ext uri="{FF2B5EF4-FFF2-40B4-BE49-F238E27FC236}">
              <a16:creationId xmlns:a16="http://schemas.microsoft.com/office/drawing/2014/main" id="{00000000-0008-0000-0000-00001A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1628775</xdr:colOff>
      <xdr:row>30</xdr:row>
      <xdr:rowOff>104775</xdr:rowOff>
    </xdr:to>
    <xdr:sp macro="" textlink="">
      <xdr:nvSpPr>
        <xdr:cNvPr id="1048" name="shapetype_202" hidden="1">
          <a:extLst>
            <a:ext uri="{FF2B5EF4-FFF2-40B4-BE49-F238E27FC236}">
              <a16:creationId xmlns:a16="http://schemas.microsoft.com/office/drawing/2014/main" id="{00000000-0008-0000-0000-000018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1628775</xdr:colOff>
      <xdr:row>30</xdr:row>
      <xdr:rowOff>104775</xdr:rowOff>
    </xdr:to>
    <xdr:sp macro="" textlink="">
      <xdr:nvSpPr>
        <xdr:cNvPr id="1046" name="shapetype_202" hidden="1">
          <a:extLst>
            <a:ext uri="{FF2B5EF4-FFF2-40B4-BE49-F238E27FC236}">
              <a16:creationId xmlns:a16="http://schemas.microsoft.com/office/drawing/2014/main" id="{00000000-0008-0000-0000-000016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1628775</xdr:colOff>
      <xdr:row>30</xdr:row>
      <xdr:rowOff>104775</xdr:rowOff>
    </xdr:to>
    <xdr:sp macro="" textlink="">
      <xdr:nvSpPr>
        <xdr:cNvPr id="1044" name="shapetype_202" hidden="1">
          <a:extLst>
            <a:ext uri="{FF2B5EF4-FFF2-40B4-BE49-F238E27FC236}">
              <a16:creationId xmlns:a16="http://schemas.microsoft.com/office/drawing/2014/main" id="{00000000-0008-0000-0000-000014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1628775</xdr:colOff>
      <xdr:row>30</xdr:row>
      <xdr:rowOff>104775</xdr:rowOff>
    </xdr:to>
    <xdr:sp macro="" textlink="">
      <xdr:nvSpPr>
        <xdr:cNvPr id="1042" name="shapetype_202" hidden="1">
          <a:extLst>
            <a:ext uri="{FF2B5EF4-FFF2-40B4-BE49-F238E27FC236}">
              <a16:creationId xmlns:a16="http://schemas.microsoft.com/office/drawing/2014/main" id="{00000000-0008-0000-0000-00001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1628775</xdr:colOff>
      <xdr:row>30</xdr:row>
      <xdr:rowOff>104775</xdr:rowOff>
    </xdr:to>
    <xdr:sp macro="" textlink="">
      <xdr:nvSpPr>
        <xdr:cNvPr id="1040" name="shapetype_202" hidden="1">
          <a:extLst>
            <a:ext uri="{FF2B5EF4-FFF2-40B4-BE49-F238E27FC236}">
              <a16:creationId xmlns:a16="http://schemas.microsoft.com/office/drawing/2014/main" id="{00000000-0008-0000-0000-000010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1628775</xdr:colOff>
      <xdr:row>30</xdr:row>
      <xdr:rowOff>104775</xdr:rowOff>
    </xdr:to>
    <xdr:sp macro="" textlink="">
      <xdr:nvSpPr>
        <xdr:cNvPr id="1038" name="shapetype_202" hidden="1">
          <a:extLst>
            <a:ext uri="{FF2B5EF4-FFF2-40B4-BE49-F238E27FC236}">
              <a16:creationId xmlns:a16="http://schemas.microsoft.com/office/drawing/2014/main" id="{00000000-0008-0000-0000-00000E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1628775</xdr:colOff>
      <xdr:row>30</xdr:row>
      <xdr:rowOff>104775</xdr:rowOff>
    </xdr:to>
    <xdr:sp macro="" textlink="">
      <xdr:nvSpPr>
        <xdr:cNvPr id="1036" name="shapetype_202" hidden="1">
          <a:extLst>
            <a:ext uri="{FF2B5EF4-FFF2-40B4-BE49-F238E27FC236}">
              <a16:creationId xmlns:a16="http://schemas.microsoft.com/office/drawing/2014/main" id="{00000000-0008-0000-0000-00000C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1628775</xdr:colOff>
      <xdr:row>30</xdr:row>
      <xdr:rowOff>104775</xdr:rowOff>
    </xdr:to>
    <xdr:sp macro="" textlink="">
      <xdr:nvSpPr>
        <xdr:cNvPr id="1034" name="shapetype_202" hidden="1">
          <a:extLst>
            <a:ext uri="{FF2B5EF4-FFF2-40B4-BE49-F238E27FC236}">
              <a16:creationId xmlns:a16="http://schemas.microsoft.com/office/drawing/2014/main" id="{00000000-0008-0000-0000-00000A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1628775</xdr:colOff>
      <xdr:row>30</xdr:row>
      <xdr:rowOff>104775</xdr:rowOff>
    </xdr:to>
    <xdr:sp macro="" textlink="">
      <xdr:nvSpPr>
        <xdr:cNvPr id="1032" name="shapetype_202" hidden="1">
          <a:extLst>
            <a:ext uri="{FF2B5EF4-FFF2-40B4-BE49-F238E27FC236}">
              <a16:creationId xmlns:a16="http://schemas.microsoft.com/office/drawing/2014/main" id="{00000000-0008-0000-0000-000008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1628775</xdr:colOff>
      <xdr:row>30</xdr:row>
      <xdr:rowOff>104775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1628775</xdr:colOff>
      <xdr:row>30</xdr:row>
      <xdr:rowOff>104775</xdr:rowOff>
    </xdr:to>
    <xdr:sp macro="" textlink="">
      <xdr:nvSpPr>
        <xdr:cNvPr id="1028" name="shapetype_202"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1628775</xdr:colOff>
      <xdr:row>30</xdr:row>
      <xdr:rowOff>104775</xdr:rowOff>
    </xdr:to>
    <xdr:sp macro="" textlink="">
      <xdr:nvSpPr>
        <xdr:cNvPr id="1026" name="shapetype_20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135000</xdr:colOff>
      <xdr:row>0</xdr:row>
      <xdr:rowOff>0</xdr:rowOff>
    </xdr:from>
    <xdr:to>
      <xdr:col>9</xdr:col>
      <xdr:colOff>466920</xdr:colOff>
      <xdr:row>40</xdr:row>
      <xdr:rowOff>146817</xdr:rowOff>
    </xdr:to>
    <xdr:sp macro="" textlink="">
      <xdr:nvSpPr>
        <xdr:cNvPr id="28" name="CustomShape 1" hidden="1">
          <a:extLst>
            <a:ext uri="{FF2B5EF4-FFF2-40B4-BE49-F238E27FC236}">
              <a16:creationId xmlns:a16="http://schemas.microsoft.com/office/drawing/2014/main" id="{00000000-0008-0000-0100-00001C000000}"/>
            </a:ext>
          </a:extLst>
        </xdr:cNvPr>
        <xdr:cNvSpPr/>
      </xdr:nvSpPr>
      <xdr:spPr>
        <a:xfrm>
          <a:off x="135000" y="0"/>
          <a:ext cx="9942480" cy="961884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135000</xdr:colOff>
      <xdr:row>0</xdr:row>
      <xdr:rowOff>0</xdr:rowOff>
    </xdr:from>
    <xdr:to>
      <xdr:col>9</xdr:col>
      <xdr:colOff>466920</xdr:colOff>
      <xdr:row>40</xdr:row>
      <xdr:rowOff>146817</xdr:rowOff>
    </xdr:to>
    <xdr:sp macro="" textlink="">
      <xdr:nvSpPr>
        <xdr:cNvPr id="29" name="CustomShape 1" hidden="1">
          <a:extLst>
            <a:ext uri="{FF2B5EF4-FFF2-40B4-BE49-F238E27FC236}">
              <a16:creationId xmlns:a16="http://schemas.microsoft.com/office/drawing/2014/main" id="{00000000-0008-0000-0100-00001D000000}"/>
            </a:ext>
          </a:extLst>
        </xdr:cNvPr>
        <xdr:cNvSpPr/>
      </xdr:nvSpPr>
      <xdr:spPr>
        <a:xfrm>
          <a:off x="135000" y="0"/>
          <a:ext cx="9942480" cy="961884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27000</xdr:colOff>
      <xdr:row>0</xdr:row>
      <xdr:rowOff>0</xdr:rowOff>
    </xdr:from>
    <xdr:to>
      <xdr:col>9</xdr:col>
      <xdr:colOff>340920</xdr:colOff>
      <xdr:row>36</xdr:row>
      <xdr:rowOff>52707</xdr:rowOff>
    </xdr:to>
    <xdr:sp macro="" textlink="">
      <xdr:nvSpPr>
        <xdr:cNvPr id="30" name="CustomShape 1" hidden="1">
          <a:extLst>
            <a:ext uri="{FF2B5EF4-FFF2-40B4-BE49-F238E27FC236}">
              <a16:creationId xmlns:a16="http://schemas.microsoft.com/office/drawing/2014/main" id="{00000000-0008-0000-0100-00001E000000}"/>
            </a:ext>
          </a:extLst>
        </xdr:cNvPr>
        <xdr:cNvSpPr/>
      </xdr:nvSpPr>
      <xdr:spPr>
        <a:xfrm>
          <a:off x="27000" y="0"/>
          <a:ext cx="9924480" cy="847692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27000</xdr:colOff>
      <xdr:row>0</xdr:row>
      <xdr:rowOff>0</xdr:rowOff>
    </xdr:from>
    <xdr:to>
      <xdr:col>9</xdr:col>
      <xdr:colOff>340920</xdr:colOff>
      <xdr:row>36</xdr:row>
      <xdr:rowOff>52707</xdr:rowOff>
    </xdr:to>
    <xdr:sp macro="" textlink="">
      <xdr:nvSpPr>
        <xdr:cNvPr id="31" name="CustomShape 1" hidden="1">
          <a:extLst>
            <a:ext uri="{FF2B5EF4-FFF2-40B4-BE49-F238E27FC236}">
              <a16:creationId xmlns:a16="http://schemas.microsoft.com/office/drawing/2014/main" id="{00000000-0008-0000-0100-00001F000000}"/>
            </a:ext>
          </a:extLst>
        </xdr:cNvPr>
        <xdr:cNvSpPr/>
      </xdr:nvSpPr>
      <xdr:spPr>
        <a:xfrm>
          <a:off x="27000" y="0"/>
          <a:ext cx="9924480" cy="847692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9</xdr:col>
      <xdr:colOff>447675</xdr:colOff>
      <xdr:row>46</xdr:row>
      <xdr:rowOff>190500</xdr:rowOff>
    </xdr:to>
    <xdr:sp macro="" textlink="">
      <xdr:nvSpPr>
        <xdr:cNvPr id="2052" name="shapetype_202" hidden="1">
          <a:extLst>
            <a:ext uri="{FF2B5EF4-FFF2-40B4-BE49-F238E27FC236}">
              <a16:creationId xmlns:a16="http://schemas.microsoft.com/office/drawing/2014/main" id="{00000000-0008-0000-0100-000004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9</xdr:col>
      <xdr:colOff>447675</xdr:colOff>
      <xdr:row>46</xdr:row>
      <xdr:rowOff>190500</xdr:rowOff>
    </xdr:to>
    <xdr:sp macro="" textlink="">
      <xdr:nvSpPr>
        <xdr:cNvPr id="2050" name="shapetype_202" hidden="1">
          <a:extLst>
            <a:ext uri="{FF2B5EF4-FFF2-40B4-BE49-F238E27FC236}">
              <a16:creationId xmlns:a16="http://schemas.microsoft.com/office/drawing/2014/main" id="{00000000-0008-0000-0100-000002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135000</xdr:colOff>
      <xdr:row>0</xdr:row>
      <xdr:rowOff>0</xdr:rowOff>
    </xdr:from>
    <xdr:to>
      <xdr:col>10</xdr:col>
      <xdr:colOff>428400</xdr:colOff>
      <xdr:row>37</xdr:row>
      <xdr:rowOff>118800</xdr:rowOff>
    </xdr:to>
    <xdr:sp macro="" textlink="">
      <xdr:nvSpPr>
        <xdr:cNvPr id="32" name="CustomShape 1" hidden="1">
          <a:extLst>
            <a:ext uri="{FF2B5EF4-FFF2-40B4-BE49-F238E27FC236}">
              <a16:creationId xmlns:a16="http://schemas.microsoft.com/office/drawing/2014/main" id="{00000000-0008-0000-0200-000020000000}"/>
            </a:ext>
          </a:extLst>
        </xdr:cNvPr>
        <xdr:cNvSpPr/>
      </xdr:nvSpPr>
      <xdr:spPr>
        <a:xfrm>
          <a:off x="135000" y="0"/>
          <a:ext cx="9380160" cy="966456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135000</xdr:colOff>
      <xdr:row>0</xdr:row>
      <xdr:rowOff>0</xdr:rowOff>
    </xdr:from>
    <xdr:to>
      <xdr:col>10</xdr:col>
      <xdr:colOff>428400</xdr:colOff>
      <xdr:row>37</xdr:row>
      <xdr:rowOff>118800</xdr:rowOff>
    </xdr:to>
    <xdr:sp macro="" textlink="">
      <xdr:nvSpPr>
        <xdr:cNvPr id="33" name="CustomShape 1" hidden="1">
          <a:extLst>
            <a:ext uri="{FF2B5EF4-FFF2-40B4-BE49-F238E27FC236}">
              <a16:creationId xmlns:a16="http://schemas.microsoft.com/office/drawing/2014/main" id="{00000000-0008-0000-0200-000021000000}"/>
            </a:ext>
          </a:extLst>
        </xdr:cNvPr>
        <xdr:cNvSpPr/>
      </xdr:nvSpPr>
      <xdr:spPr>
        <a:xfrm>
          <a:off x="135000" y="0"/>
          <a:ext cx="9380160" cy="966456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27000</xdr:colOff>
      <xdr:row>0</xdr:row>
      <xdr:rowOff>0</xdr:rowOff>
    </xdr:from>
    <xdr:to>
      <xdr:col>10</xdr:col>
      <xdr:colOff>759975</xdr:colOff>
      <xdr:row>38</xdr:row>
      <xdr:rowOff>132840</xdr:rowOff>
    </xdr:to>
    <xdr:sp macro="" textlink="">
      <xdr:nvSpPr>
        <xdr:cNvPr id="34" name="CustomShape 1" hidden="1">
          <a:extLst>
            <a:ext uri="{FF2B5EF4-FFF2-40B4-BE49-F238E27FC236}">
              <a16:creationId xmlns:a16="http://schemas.microsoft.com/office/drawing/2014/main" id="{00000000-0008-0000-0200-000022000000}"/>
            </a:ext>
          </a:extLst>
        </xdr:cNvPr>
        <xdr:cNvSpPr/>
      </xdr:nvSpPr>
      <xdr:spPr>
        <a:xfrm>
          <a:off x="27000" y="0"/>
          <a:ext cx="9867240" cy="99572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27000</xdr:colOff>
      <xdr:row>0</xdr:row>
      <xdr:rowOff>0</xdr:rowOff>
    </xdr:from>
    <xdr:to>
      <xdr:col>10</xdr:col>
      <xdr:colOff>759975</xdr:colOff>
      <xdr:row>38</xdr:row>
      <xdr:rowOff>132840</xdr:rowOff>
    </xdr:to>
    <xdr:sp macro="" textlink="">
      <xdr:nvSpPr>
        <xdr:cNvPr id="35" name="CustomShape 1" hidden="1">
          <a:extLst>
            <a:ext uri="{FF2B5EF4-FFF2-40B4-BE49-F238E27FC236}">
              <a16:creationId xmlns:a16="http://schemas.microsoft.com/office/drawing/2014/main" id="{00000000-0008-0000-0200-000023000000}"/>
            </a:ext>
          </a:extLst>
        </xdr:cNvPr>
        <xdr:cNvSpPr/>
      </xdr:nvSpPr>
      <xdr:spPr>
        <a:xfrm>
          <a:off x="27000" y="0"/>
          <a:ext cx="9867240" cy="99572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11</xdr:col>
      <xdr:colOff>381000</xdr:colOff>
      <xdr:row>37</xdr:row>
      <xdr:rowOff>47625</xdr:rowOff>
    </xdr:to>
    <xdr:sp macro="" textlink="">
      <xdr:nvSpPr>
        <xdr:cNvPr id="3076" name="shapetype_202" hidden="1">
          <a:extLst>
            <a:ext uri="{FF2B5EF4-FFF2-40B4-BE49-F238E27FC236}">
              <a16:creationId xmlns:a16="http://schemas.microsoft.com/office/drawing/2014/main" id="{00000000-0008-0000-0200-000004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11</xdr:col>
      <xdr:colOff>381000</xdr:colOff>
      <xdr:row>37</xdr:row>
      <xdr:rowOff>47625</xdr:rowOff>
    </xdr:to>
    <xdr:sp macro="" textlink="">
      <xdr:nvSpPr>
        <xdr:cNvPr id="3074" name="shapetype_202" hidden="1">
          <a:extLst>
            <a:ext uri="{FF2B5EF4-FFF2-40B4-BE49-F238E27FC236}">
              <a16:creationId xmlns:a16="http://schemas.microsoft.com/office/drawing/2014/main" id="{00000000-0008-0000-0200-000002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K54"/>
  <sheetViews>
    <sheetView tabSelected="1" view="pageBreakPreview" topLeftCell="B1" zoomScale="98" zoomScaleNormal="100" zoomScaleSheetLayoutView="98" workbookViewId="0">
      <selection activeCell="B1" sqref="B1:D1"/>
    </sheetView>
  </sheetViews>
  <sheetFormatPr defaultRowHeight="15" x14ac:dyDescent="0.25"/>
  <cols>
    <col min="1" max="1" width="3.5703125" style="1"/>
    <col min="2" max="2" width="18.28515625" style="1"/>
    <col min="3" max="3" width="18.85546875" style="1"/>
    <col min="4" max="4" width="12.85546875" style="1"/>
    <col min="5" max="5" width="16" style="1"/>
    <col min="6" max="6" width="12.5703125" style="1"/>
    <col min="7" max="7" width="36.28515625" style="1"/>
    <col min="8" max="8" width="34.85546875" style="1"/>
    <col min="9" max="1025" width="8.140625" style="1"/>
  </cols>
  <sheetData>
    <row r="1" spans="1:251" ht="105" customHeight="1" x14ac:dyDescent="0.25">
      <c r="A1" s="2"/>
      <c r="B1" s="97" t="s">
        <v>0</v>
      </c>
      <c r="C1" s="97"/>
      <c r="D1" s="97"/>
      <c r="E1" s="2"/>
      <c r="F1" s="3"/>
      <c r="G1" s="3"/>
      <c r="H1" s="3"/>
      <c r="I1" s="4"/>
      <c r="J1" s="4"/>
      <c r="K1" s="4"/>
      <c r="L1" s="4"/>
      <c r="M1" s="4"/>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row>
    <row r="2" spans="1:251" ht="20.25" customHeight="1" x14ac:dyDescent="0.25">
      <c r="A2" s="5"/>
      <c r="B2" s="5"/>
      <c r="C2" s="5"/>
      <c r="D2" s="5"/>
      <c r="E2" s="3"/>
      <c r="F2" s="3"/>
      <c r="G2" s="3"/>
      <c r="H2" s="3"/>
      <c r="I2" s="4"/>
      <c r="J2" s="4"/>
      <c r="K2" s="4"/>
      <c r="L2" s="4"/>
      <c r="M2" s="4"/>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row>
    <row r="3" spans="1:251" ht="20.25" customHeight="1" x14ac:dyDescent="0.25">
      <c r="A3" s="5"/>
      <c r="B3" s="5"/>
      <c r="C3" s="5"/>
      <c r="D3" s="5"/>
      <c r="E3" s="3"/>
      <c r="F3" s="3"/>
      <c r="G3" s="3"/>
      <c r="H3" s="3"/>
      <c r="I3" s="4"/>
      <c r="J3" s="4"/>
      <c r="K3" s="4"/>
      <c r="L3" s="4"/>
      <c r="M3" s="4"/>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row>
    <row r="4" spans="1:251" ht="33.4" customHeight="1" x14ac:dyDescent="0.25">
      <c r="A4" s="6"/>
      <c r="B4" s="6"/>
      <c r="C4" s="6"/>
      <c r="D4" s="98" t="s">
        <v>1529</v>
      </c>
      <c r="E4" s="98"/>
      <c r="F4" s="98"/>
      <c r="G4" s="7" t="s">
        <v>1</v>
      </c>
      <c r="H4" s="6"/>
      <c r="I4" s="4"/>
      <c r="J4" s="4"/>
      <c r="K4" s="4"/>
      <c r="L4" s="4"/>
      <c r="M4" s="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row>
    <row r="5" spans="1:251" ht="23.25" x14ac:dyDescent="0.25">
      <c r="A5" s="99" t="s">
        <v>2</v>
      </c>
      <c r="B5" s="99"/>
      <c r="C5" s="99"/>
      <c r="D5" s="99"/>
      <c r="E5" s="99"/>
      <c r="F5" s="99"/>
      <c r="G5" s="99"/>
      <c r="H5" s="99"/>
      <c r="I5" s="8"/>
      <c r="J5" s="8"/>
      <c r="K5" s="8"/>
      <c r="L5" s="8"/>
      <c r="M5" s="8"/>
      <c r="N5" s="8"/>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row>
    <row r="6" spans="1:251" ht="15.75" x14ac:dyDescent="0.25">
      <c r="A6" s="9"/>
      <c r="B6" s="9"/>
      <c r="C6" s="9"/>
      <c r="D6" s="9"/>
      <c r="E6" s="9"/>
      <c r="F6" s="9"/>
      <c r="G6" s="9"/>
      <c r="H6" s="9"/>
      <c r="I6" s="4"/>
      <c r="J6" s="4"/>
      <c r="K6" s="4"/>
      <c r="L6" s="4"/>
      <c r="M6" s="4"/>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row>
    <row r="7" spans="1:251" ht="15.75" x14ac:dyDescent="0.25">
      <c r="A7" s="9"/>
      <c r="B7" s="9"/>
      <c r="C7" s="9"/>
      <c r="D7" s="9"/>
      <c r="E7" s="9"/>
      <c r="F7" s="9"/>
      <c r="G7" s="9"/>
      <c r="H7" s="9"/>
      <c r="I7" s="4"/>
      <c r="J7" s="4"/>
      <c r="K7" s="4"/>
      <c r="L7" s="4"/>
      <c r="M7" s="4"/>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row>
    <row r="8" spans="1:251" ht="15.75" x14ac:dyDescent="0.25">
      <c r="A8" s="9"/>
      <c r="B8" s="9"/>
      <c r="C8" s="9"/>
      <c r="D8" s="9"/>
      <c r="E8" s="9"/>
      <c r="F8" s="9"/>
      <c r="G8" s="9"/>
      <c r="H8" s="9"/>
      <c r="I8" s="4"/>
      <c r="J8" s="4"/>
      <c r="K8" s="4"/>
      <c r="L8" s="4"/>
      <c r="M8" s="4"/>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row>
    <row r="9" spans="1:251" ht="15.75" x14ac:dyDescent="0.25">
      <c r="A9" s="9"/>
      <c r="B9" s="9"/>
      <c r="C9" s="9"/>
      <c r="D9" s="9"/>
      <c r="E9" s="9"/>
      <c r="F9" s="9"/>
      <c r="G9" s="9"/>
      <c r="H9" s="9"/>
      <c r="I9" s="4"/>
      <c r="J9" s="4"/>
      <c r="K9" s="4"/>
      <c r="L9" s="4"/>
      <c r="M9" s="4"/>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row>
    <row r="10" spans="1:251" ht="15.75" x14ac:dyDescent="0.25">
      <c r="A10" s="9"/>
      <c r="B10" s="9"/>
      <c r="C10" s="9"/>
      <c r="D10" s="9"/>
      <c r="E10" s="9"/>
      <c r="F10" s="9"/>
      <c r="G10" s="9"/>
      <c r="H10" s="9"/>
      <c r="I10" s="4"/>
      <c r="J10" s="4"/>
      <c r="K10" s="4"/>
      <c r="L10" s="4"/>
      <c r="M10" s="4"/>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row>
    <row r="11" spans="1:251" ht="35.1" customHeight="1" x14ac:dyDescent="0.3">
      <c r="A11" s="10"/>
      <c r="B11" s="11" t="s">
        <v>3</v>
      </c>
      <c r="C11" s="100" t="s">
        <v>4</v>
      </c>
      <c r="D11" s="100"/>
      <c r="E11" s="100"/>
      <c r="F11" s="100"/>
      <c r="G11" s="100"/>
      <c r="H11" s="11" t="s">
        <v>5</v>
      </c>
      <c r="I11" s="4"/>
      <c r="J11" s="4"/>
      <c r="K11" s="4"/>
      <c r="L11" s="4"/>
      <c r="M11" s="4"/>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row>
    <row r="12" spans="1:251" ht="35.1" customHeight="1" x14ac:dyDescent="0.3">
      <c r="A12" s="10"/>
      <c r="B12" s="94" t="s">
        <v>6</v>
      </c>
      <c r="C12" s="94"/>
      <c r="D12" s="94"/>
      <c r="E12" s="101" t="s">
        <v>7</v>
      </c>
      <c r="F12" s="101"/>
      <c r="G12" s="12" t="s">
        <v>8</v>
      </c>
      <c r="H12" s="13" t="s">
        <v>9</v>
      </c>
      <c r="I12" s="4"/>
      <c r="J12" s="4"/>
      <c r="K12" s="4"/>
      <c r="L12" s="4"/>
      <c r="M12" s="4"/>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row>
    <row r="13" spans="1:251" ht="35.1" customHeight="1" x14ac:dyDescent="0.3">
      <c r="A13" s="10"/>
      <c r="B13" s="94" t="s">
        <v>10</v>
      </c>
      <c r="C13" s="94"/>
      <c r="D13" s="94"/>
      <c r="E13" s="94"/>
      <c r="F13" s="94"/>
      <c r="G13" s="94"/>
      <c r="H13" s="94"/>
      <c r="I13" s="4"/>
      <c r="J13" s="4"/>
      <c r="K13" s="4"/>
      <c r="L13" s="4"/>
      <c r="M13" s="4"/>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row>
    <row r="14" spans="1:251" ht="35.1" customHeight="1" x14ac:dyDescent="0.3">
      <c r="A14" s="10"/>
      <c r="B14" s="94" t="s">
        <v>11</v>
      </c>
      <c r="C14" s="94"/>
      <c r="D14" s="94"/>
      <c r="E14" s="94"/>
      <c r="F14" s="94"/>
      <c r="G14" s="94"/>
      <c r="H14" s="94"/>
      <c r="I14" s="4"/>
      <c r="J14" s="4"/>
      <c r="K14" s="4"/>
      <c r="L14" s="4"/>
      <c r="M14" s="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row>
    <row r="15" spans="1:251" ht="35.1" customHeight="1" x14ac:dyDescent="0.3">
      <c r="A15" s="14"/>
      <c r="B15" s="11" t="s">
        <v>12</v>
      </c>
      <c r="C15" s="15"/>
      <c r="D15" s="15"/>
      <c r="E15" s="15"/>
      <c r="F15" s="15"/>
      <c r="G15" s="15"/>
      <c r="H15" s="15"/>
      <c r="I15" s="4"/>
      <c r="J15" s="4"/>
      <c r="K15" s="4"/>
      <c r="L15" s="4"/>
      <c r="M15" s="4"/>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row>
    <row r="16" spans="1:251" ht="35.1" customHeight="1" x14ac:dyDescent="0.3">
      <c r="A16" s="14"/>
      <c r="B16" s="11" t="s">
        <v>13</v>
      </c>
      <c r="C16" s="15"/>
      <c r="D16" s="15"/>
      <c r="E16" s="15"/>
      <c r="F16" s="15"/>
      <c r="G16" s="15"/>
      <c r="H16" s="15"/>
      <c r="I16" s="4"/>
      <c r="J16" s="4"/>
      <c r="K16" s="4"/>
      <c r="L16" s="4"/>
      <c r="M16" s="4"/>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row>
    <row r="17" spans="1:251" ht="15.75" x14ac:dyDescent="0.25">
      <c r="A17" s="16"/>
      <c r="B17" s="16"/>
      <c r="C17" s="16"/>
      <c r="D17" s="16"/>
      <c r="E17" s="16"/>
      <c r="F17" s="16"/>
      <c r="G17" s="16"/>
      <c r="H17" s="16"/>
      <c r="I17" s="4"/>
      <c r="J17" s="4"/>
      <c r="K17" s="4"/>
      <c r="L17" s="4"/>
      <c r="M17" s="4"/>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row>
    <row r="18" spans="1:251" ht="15.75" x14ac:dyDescent="0.25">
      <c r="A18" s="16"/>
      <c r="B18" s="16"/>
      <c r="C18" s="16"/>
      <c r="D18" s="16"/>
      <c r="E18" s="16"/>
      <c r="F18" s="16"/>
      <c r="G18" s="16"/>
      <c r="H18" s="16"/>
      <c r="I18" s="4"/>
      <c r="J18" s="4"/>
      <c r="K18" s="4"/>
      <c r="L18" s="4"/>
      <c r="M18" s="4"/>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row>
    <row r="19" spans="1:251" ht="15.75" x14ac:dyDescent="0.25">
      <c r="A19" s="16"/>
      <c r="B19" s="16"/>
      <c r="C19" s="16"/>
      <c r="D19" s="16"/>
      <c r="E19" s="16"/>
      <c r="F19" s="16"/>
      <c r="G19" s="16"/>
      <c r="H19" s="16"/>
      <c r="I19" s="4"/>
      <c r="J19" s="4"/>
      <c r="K19" s="4"/>
      <c r="L19" s="4"/>
      <c r="M19" s="4"/>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row>
    <row r="20" spans="1:251" ht="15.75" x14ac:dyDescent="0.25">
      <c r="A20" s="16"/>
      <c r="B20" s="16"/>
      <c r="C20" s="16"/>
      <c r="D20" s="16"/>
      <c r="E20" s="16"/>
      <c r="F20" s="16"/>
      <c r="G20" s="16"/>
      <c r="H20" s="16"/>
      <c r="I20" s="4"/>
      <c r="J20" s="4"/>
      <c r="K20" s="4"/>
      <c r="L20" s="4"/>
      <c r="M20" s="4"/>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row>
    <row r="21" spans="1:251" ht="33.950000000000003" customHeight="1" x14ac:dyDescent="0.25">
      <c r="A21" s="9"/>
      <c r="B21" s="17" t="s">
        <v>14</v>
      </c>
      <c r="C21" s="18"/>
      <c r="D21" s="19"/>
      <c r="E21" s="20">
        <v>1</v>
      </c>
      <c r="F21" s="21"/>
      <c r="G21" s="95" t="s">
        <v>15</v>
      </c>
      <c r="H21" s="95"/>
      <c r="I21" s="22"/>
      <c r="J21" s="4"/>
      <c r="K21" s="4"/>
      <c r="L21" s="4"/>
      <c r="M21" s="4"/>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row>
    <row r="22" spans="1:251" ht="19.899999999999999" customHeight="1" x14ac:dyDescent="0.25">
      <c r="A22" s="9"/>
      <c r="B22" s="23"/>
      <c r="C22" s="19"/>
      <c r="D22" s="19"/>
      <c r="E22" s="19"/>
      <c r="F22" s="19"/>
      <c r="G22" s="19"/>
      <c r="H22" s="19"/>
      <c r="I22" s="22"/>
      <c r="J22" s="4"/>
      <c r="K22" s="4"/>
      <c r="L22" s="4"/>
      <c r="M22" s="4"/>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row>
    <row r="23" spans="1:251" ht="9.9499999999999993" customHeight="1" x14ac:dyDescent="0.25">
      <c r="A23" s="9"/>
      <c r="B23" s="24"/>
      <c r="C23" s="9"/>
      <c r="D23" s="9"/>
      <c r="E23" s="9"/>
      <c r="F23" s="9"/>
      <c r="G23" s="9"/>
      <c r="H23" s="9"/>
      <c r="I23" s="4"/>
      <c r="J23" s="4"/>
      <c r="K23" s="4"/>
      <c r="L23" s="4"/>
      <c r="M23" s="4"/>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row>
    <row r="24" spans="1:251" ht="33.950000000000003" customHeight="1" x14ac:dyDescent="0.3">
      <c r="A24" s="9"/>
      <c r="B24" s="17" t="s">
        <v>16</v>
      </c>
      <c r="C24" s="25"/>
      <c r="D24" s="26"/>
      <c r="E24" s="27"/>
      <c r="F24" s="21"/>
      <c r="G24" s="28" t="s">
        <v>17</v>
      </c>
      <c r="H24" s="29" t="s">
        <v>18</v>
      </c>
      <c r="I24" s="4"/>
      <c r="J24" s="4"/>
      <c r="K24" s="4"/>
      <c r="L24" s="4"/>
      <c r="M24" s="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row>
    <row r="25" spans="1:251" ht="15.75" x14ac:dyDescent="0.25">
      <c r="A25" s="9"/>
      <c r="B25" s="9"/>
      <c r="C25" s="9"/>
      <c r="D25" s="9"/>
      <c r="E25" s="9"/>
      <c r="F25" s="9"/>
      <c r="G25" s="9"/>
      <c r="H25" s="9"/>
      <c r="I25" s="4"/>
      <c r="J25" s="4"/>
      <c r="K25" s="4"/>
      <c r="L25" s="4"/>
      <c r="M25" s="4"/>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row>
    <row r="26" spans="1:251" ht="15.75" x14ac:dyDescent="0.25">
      <c r="A26" s="9"/>
      <c r="B26" s="9"/>
      <c r="C26" s="9"/>
      <c r="D26" s="9"/>
      <c r="E26" s="9"/>
      <c r="F26" s="9"/>
      <c r="G26" s="9"/>
      <c r="H26" s="9"/>
      <c r="I26" s="4"/>
      <c r="J26" s="4"/>
      <c r="K26" s="4"/>
      <c r="L26" s="4"/>
      <c r="M26" s="4"/>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row>
    <row r="27" spans="1:251" ht="15.75" x14ac:dyDescent="0.25">
      <c r="A27" s="9"/>
      <c r="B27" s="9"/>
      <c r="C27" s="9"/>
      <c r="D27" s="9"/>
      <c r="E27" s="9"/>
      <c r="F27" s="9"/>
      <c r="G27" s="9"/>
      <c r="H27" s="9"/>
      <c r="I27" s="4"/>
      <c r="J27" s="4"/>
      <c r="K27" s="4"/>
      <c r="L27" s="4"/>
      <c r="M27" s="4"/>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row>
    <row r="28" spans="1:251" ht="15.75" x14ac:dyDescent="0.25">
      <c r="A28" s="9"/>
      <c r="B28" s="9"/>
      <c r="C28" s="9"/>
      <c r="D28" s="9"/>
      <c r="E28" s="9"/>
      <c r="F28" s="9"/>
      <c r="G28" s="9"/>
      <c r="H28" s="9"/>
      <c r="I28" s="4"/>
      <c r="J28" s="4"/>
      <c r="K28" s="4"/>
      <c r="L28" s="4"/>
      <c r="M28" s="4"/>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row>
    <row r="29" spans="1:251" ht="15.75" x14ac:dyDescent="0.25">
      <c r="A29" s="9"/>
      <c r="B29" s="9"/>
      <c r="C29" s="9"/>
      <c r="D29" s="9"/>
      <c r="E29" s="9"/>
      <c r="F29" s="9"/>
      <c r="G29" s="9"/>
      <c r="H29" s="9"/>
      <c r="I29" s="4"/>
      <c r="J29" s="4"/>
      <c r="K29" s="4"/>
      <c r="L29" s="4"/>
      <c r="M29" s="4"/>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row>
    <row r="30" spans="1:251" ht="15.75" x14ac:dyDescent="0.25">
      <c r="A30" s="9"/>
      <c r="B30" s="9"/>
      <c r="C30" s="9"/>
      <c r="D30" s="9"/>
      <c r="E30" s="9"/>
      <c r="F30" s="9"/>
      <c r="G30" s="9"/>
      <c r="H30" s="9"/>
      <c r="I30" s="4"/>
      <c r="J30" s="4"/>
      <c r="K30" s="4"/>
      <c r="L30" s="4"/>
      <c r="M30" s="4"/>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row>
    <row r="31" spans="1:251" ht="281.25" customHeight="1" x14ac:dyDescent="0.25">
      <c r="A31" s="9"/>
      <c r="B31" s="96" t="s">
        <v>19</v>
      </c>
      <c r="C31" s="96"/>
      <c r="D31" s="96"/>
      <c r="E31" s="96"/>
      <c r="F31" s="96"/>
      <c r="G31" s="96"/>
      <c r="H31" s="96"/>
      <c r="I31" s="4"/>
      <c r="J31" s="4"/>
      <c r="K31" s="4"/>
      <c r="L31" s="4"/>
      <c r="M31" s="4"/>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row>
    <row r="32" spans="1:251" ht="15.75" x14ac:dyDescent="0.25">
      <c r="A32" s="9"/>
      <c r="B32" s="30"/>
      <c r="C32" s="30"/>
      <c r="D32" s="30"/>
      <c r="E32" s="30"/>
      <c r="F32" s="30"/>
      <c r="G32" s="30"/>
      <c r="H32" s="30"/>
      <c r="I32" s="4"/>
      <c r="J32" s="4"/>
      <c r="K32" s="4"/>
      <c r="L32" s="4"/>
      <c r="M32" s="4"/>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row>
    <row r="33" spans="1:251" ht="15.75" x14ac:dyDescent="0.25">
      <c r="A33" s="9"/>
      <c r="B33" s="30"/>
      <c r="C33" s="30"/>
      <c r="D33" s="30"/>
      <c r="E33" s="30"/>
      <c r="F33" s="30"/>
      <c r="G33" s="30"/>
      <c r="H33" s="30"/>
      <c r="I33" s="4"/>
      <c r="J33" s="4"/>
      <c r="K33" s="4"/>
      <c r="L33" s="4"/>
      <c r="M33" s="4"/>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row>
    <row r="34" spans="1:251" ht="15.75" x14ac:dyDescent="0.25">
      <c r="A34" s="9"/>
      <c r="B34" s="30"/>
      <c r="C34" s="30"/>
      <c r="D34" s="30"/>
      <c r="E34" s="30"/>
      <c r="F34" s="30"/>
      <c r="G34" s="30"/>
      <c r="H34" s="30"/>
      <c r="I34" s="4"/>
      <c r="J34" s="4"/>
      <c r="K34" s="4"/>
      <c r="L34" s="4"/>
      <c r="M34" s="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row>
    <row r="35" spans="1:251" ht="15.75" x14ac:dyDescent="0.25">
      <c r="A35" s="9"/>
      <c r="B35" s="30"/>
      <c r="C35" s="30"/>
      <c r="D35" s="30"/>
      <c r="E35" s="30"/>
      <c r="F35" s="30"/>
      <c r="G35" s="30"/>
      <c r="H35" s="30"/>
      <c r="I35" s="4"/>
      <c r="J35" s="4"/>
      <c r="K35" s="4"/>
      <c r="L35" s="4"/>
      <c r="M35" s="4"/>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row>
    <row r="36" spans="1:251" ht="15.75" x14ac:dyDescent="0.25">
      <c r="A36" s="9"/>
      <c r="B36" s="31"/>
      <c r="C36" s="31"/>
      <c r="D36" s="31"/>
      <c r="E36" s="31"/>
      <c r="F36" s="31"/>
      <c r="G36" s="31"/>
      <c r="H36" s="31"/>
      <c r="I36" s="4"/>
      <c r="J36" s="4"/>
      <c r="K36" s="4"/>
      <c r="L36" s="4"/>
      <c r="M36" s="4"/>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row>
    <row r="37" spans="1:251" ht="21" customHeight="1" x14ac:dyDescent="0.3">
      <c r="A37" s="9"/>
      <c r="B37" s="32" t="s">
        <v>20</v>
      </c>
      <c r="C37" s="33"/>
      <c r="D37" s="33"/>
      <c r="E37" s="33"/>
      <c r="F37" s="33"/>
      <c r="G37" s="33"/>
      <c r="H37" s="33"/>
      <c r="I37" s="4"/>
      <c r="J37" s="4"/>
      <c r="K37" s="4"/>
      <c r="L37" s="4"/>
      <c r="M37" s="4"/>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row>
    <row r="38" spans="1:251" ht="20.25" x14ac:dyDescent="0.3">
      <c r="A38" s="9"/>
      <c r="B38" s="32" t="s">
        <v>21</v>
      </c>
      <c r="C38" s="34"/>
      <c r="D38" s="34"/>
      <c r="E38" s="34"/>
      <c r="F38" s="34"/>
      <c r="G38" s="34"/>
      <c r="H38" s="34"/>
      <c r="I38" s="4"/>
      <c r="J38" s="4"/>
      <c r="K38" s="4"/>
      <c r="L38" s="4"/>
      <c r="M38" s="4"/>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row>
    <row r="39" spans="1:251" ht="15.75" x14ac:dyDescent="0.25">
      <c r="A39" s="9"/>
      <c r="B39" s="9"/>
      <c r="C39" s="9"/>
      <c r="D39" s="9"/>
      <c r="E39" s="9"/>
      <c r="F39" s="9"/>
      <c r="G39" s="9"/>
      <c r="H39" s="9"/>
      <c r="I39" s="4"/>
      <c r="J39" s="4"/>
      <c r="K39" s="4"/>
      <c r="L39" s="4"/>
      <c r="M39" s="4"/>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row>
    <row r="40" spans="1:251" ht="15.75" x14ac:dyDescent="0.25">
      <c r="A40" s="9"/>
      <c r="B40" s="9"/>
      <c r="C40" s="9"/>
      <c r="D40" s="9"/>
      <c r="E40" s="9"/>
      <c r="F40" s="9"/>
      <c r="G40" s="9"/>
      <c r="H40" s="9"/>
      <c r="I40" s="4"/>
      <c r="J40" s="4"/>
      <c r="K40" s="4"/>
      <c r="L40" s="4"/>
      <c r="M40" s="4"/>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row>
    <row r="41" spans="1:251" ht="15.75" x14ac:dyDescent="0.25">
      <c r="A41" s="9"/>
      <c r="B41" s="9"/>
      <c r="C41" s="9"/>
      <c r="D41" s="9"/>
      <c r="E41" s="9"/>
      <c r="F41" s="9"/>
      <c r="G41" s="9"/>
      <c r="H41" s="9"/>
      <c r="I41" s="4"/>
      <c r="J41" s="4"/>
      <c r="K41" s="4"/>
      <c r="L41" s="4"/>
      <c r="M41" s="4"/>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row>
    <row r="42" spans="1:251" ht="15.75" x14ac:dyDescent="0.25">
      <c r="A42" s="9"/>
      <c r="B42" s="9"/>
      <c r="C42" s="9"/>
      <c r="D42" s="9"/>
      <c r="E42" s="9"/>
      <c r="F42" s="9"/>
      <c r="G42" s="9"/>
      <c r="H42" s="9"/>
      <c r="I42" s="4"/>
      <c r="J42" s="4"/>
      <c r="K42" s="4"/>
      <c r="L42" s="4"/>
      <c r="M42" s="4"/>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row>
    <row r="43" spans="1:251" ht="15.75" x14ac:dyDescent="0.25">
      <c r="A43" s="9"/>
      <c r="B43" s="9"/>
      <c r="C43" s="9"/>
      <c r="D43" s="9"/>
      <c r="E43" s="9"/>
      <c r="F43" s="9"/>
      <c r="G43" s="9"/>
      <c r="H43" s="9"/>
      <c r="I43" s="4"/>
      <c r="J43" s="4"/>
      <c r="K43" s="4"/>
      <c r="L43" s="4"/>
      <c r="M43" s="4"/>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row>
    <row r="44" spans="1:251" ht="27.4" customHeight="1" x14ac:dyDescent="0.25">
      <c r="A44" s="9"/>
      <c r="B44" s="35"/>
      <c r="C44" s="35"/>
      <c r="D44" s="36" t="s">
        <v>22</v>
      </c>
      <c r="E44" s="37" t="s">
        <v>23</v>
      </c>
      <c r="F44" s="36" t="s">
        <v>24</v>
      </c>
      <c r="G44" s="37" t="s">
        <v>25</v>
      </c>
      <c r="H44" s="37" t="s">
        <v>26</v>
      </c>
      <c r="I44" s="4"/>
      <c r="J44" s="4"/>
      <c r="K44" s="4"/>
      <c r="L44" s="4"/>
      <c r="M44" s="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row>
    <row r="45" spans="1:251" x14ac:dyDescent="0.25">
      <c r="A45" s="21"/>
      <c r="B45" s="21"/>
      <c r="C45" s="21"/>
      <c r="D45" s="21"/>
      <c r="E45" s="21"/>
      <c r="F45" s="21"/>
      <c r="G45" s="21"/>
      <c r="H45" s="21"/>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row>
    <row r="46" spans="1:251" x14ac:dyDescent="0.25">
      <c r="A46" s="21"/>
      <c r="B46" s="21"/>
      <c r="C46" s="21"/>
      <c r="D46" s="21"/>
      <c r="E46" s="21"/>
      <c r="F46" s="21"/>
      <c r="G46" s="21"/>
      <c r="H46" s="21"/>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row>
    <row r="47" spans="1:251" x14ac:dyDescent="0.25">
      <c r="A47" s="21"/>
      <c r="B47" s="21"/>
      <c r="C47" s="21"/>
      <c r="D47" s="21"/>
      <c r="E47" s="21"/>
      <c r="F47" s="21"/>
      <c r="G47" s="21"/>
      <c r="H47" s="21"/>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row>
    <row r="48" spans="1:251" x14ac:dyDescent="0.25">
      <c r="A48" s="21"/>
      <c r="B48" s="21"/>
      <c r="C48" s="21"/>
      <c r="D48" s="21"/>
      <c r="E48" s="21"/>
      <c r="F48" s="21"/>
      <c r="G48" s="21"/>
      <c r="H48" s="21"/>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row>
    <row r="49" spans="1:251" x14ac:dyDescent="0.25">
      <c r="A49" s="21"/>
      <c r="B49" s="21"/>
      <c r="C49" s="21"/>
      <c r="D49" s="21"/>
      <c r="E49" s="21"/>
      <c r="F49" s="21"/>
      <c r="G49" s="21"/>
      <c r="H49" s="21"/>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row>
    <row r="50" spans="1:251" ht="34.15" customHeight="1" x14ac:dyDescent="0.25">
      <c r="A50" s="21"/>
      <c r="B50" s="21"/>
      <c r="C50" s="38"/>
      <c r="D50" s="38"/>
      <c r="E50" s="38"/>
      <c r="F50" s="38"/>
      <c r="G50" s="38"/>
      <c r="H50" s="39"/>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row>
    <row r="51" spans="1:251" ht="19.5" customHeight="1" x14ac:dyDescent="0.25">
      <c r="A51" s="9"/>
      <c r="B51" s="40"/>
      <c r="C51" s="40"/>
      <c r="D51" s="41"/>
      <c r="E51" s="21"/>
      <c r="F51" s="36" t="s">
        <v>27</v>
      </c>
      <c r="G51" s="42"/>
      <c r="H51" s="40"/>
      <c r="I51" s="43"/>
      <c r="J51" s="4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row>
    <row r="52" spans="1:251" ht="20.25" x14ac:dyDescent="0.25">
      <c r="A52" s="9"/>
      <c r="B52" s="40"/>
      <c r="C52" s="40"/>
      <c r="D52" s="41"/>
      <c r="E52" s="21"/>
      <c r="F52" s="36" t="s">
        <v>28</v>
      </c>
      <c r="G52" s="42"/>
      <c r="H52" s="40"/>
      <c r="I52" s="43"/>
      <c r="J52" s="4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c r="GP52" s="4"/>
      <c r="GQ52" s="4"/>
      <c r="GR52" s="4"/>
      <c r="GS52" s="4"/>
      <c r="GT52" s="4"/>
      <c r="GU52" s="4"/>
      <c r="GV52" s="4"/>
      <c r="GW52" s="4"/>
      <c r="GX52" s="4"/>
      <c r="GY52" s="4"/>
      <c r="GZ52" s="4"/>
      <c r="HA52" s="4"/>
      <c r="HB52" s="4"/>
      <c r="HC52" s="4"/>
      <c r="HD52" s="4"/>
      <c r="HE52" s="4"/>
      <c r="HF52" s="4"/>
      <c r="HG52" s="4"/>
      <c r="HH52" s="4"/>
      <c r="HI52" s="4"/>
      <c r="HJ52" s="4"/>
      <c r="HK52" s="4"/>
      <c r="HL52" s="4"/>
      <c r="HM52" s="4"/>
      <c r="HN52" s="4"/>
      <c r="HO52" s="4"/>
      <c r="HP52" s="4"/>
      <c r="HQ52" s="4"/>
      <c r="HR52" s="4"/>
      <c r="HS52" s="4"/>
      <c r="HT52" s="4"/>
      <c r="HU52" s="4"/>
      <c r="HV52" s="4"/>
      <c r="HW52" s="4"/>
      <c r="HX52" s="4"/>
      <c r="HY52" s="4"/>
      <c r="HZ52" s="4"/>
      <c r="IA52" s="4"/>
      <c r="IB52" s="4"/>
      <c r="IC52" s="4"/>
      <c r="ID52" s="4"/>
      <c r="IE52" s="4"/>
      <c r="IF52" s="4"/>
      <c r="IG52" s="4"/>
      <c r="IH52" s="4"/>
      <c r="II52" s="4"/>
      <c r="IJ52" s="4"/>
      <c r="IK52" s="4"/>
      <c r="IL52" s="4"/>
      <c r="IM52" s="4"/>
      <c r="IN52" s="4"/>
      <c r="IO52" s="4"/>
      <c r="IP52" s="4"/>
      <c r="IQ52" s="4"/>
    </row>
    <row r="53" spans="1:251" ht="23.25" customHeight="1" x14ac:dyDescent="0.25">
      <c r="A53" s="9"/>
      <c r="B53" s="40"/>
      <c r="C53" s="40"/>
      <c r="D53" s="41"/>
      <c r="E53" s="21"/>
      <c r="F53" s="36" t="s">
        <v>29</v>
      </c>
      <c r="G53" s="42"/>
      <c r="H53" s="40"/>
      <c r="I53" s="43"/>
      <c r="J53" s="4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c r="FY53" s="4"/>
      <c r="FZ53" s="4"/>
      <c r="GA53" s="4"/>
      <c r="GB53" s="4"/>
      <c r="GC53" s="4"/>
      <c r="GD53" s="4"/>
      <c r="GE53" s="4"/>
      <c r="GF53" s="4"/>
      <c r="GG53" s="4"/>
      <c r="GH53" s="4"/>
      <c r="GI53" s="4"/>
      <c r="GJ53" s="4"/>
      <c r="GK53" s="4"/>
      <c r="GL53" s="4"/>
      <c r="GM53" s="4"/>
      <c r="GN53" s="4"/>
      <c r="GO53" s="4"/>
      <c r="GP53" s="4"/>
      <c r="GQ53" s="4"/>
      <c r="GR53" s="4"/>
      <c r="GS53" s="4"/>
      <c r="GT53" s="4"/>
      <c r="GU53" s="4"/>
      <c r="GV53" s="4"/>
      <c r="GW53" s="4"/>
      <c r="GX53" s="4"/>
      <c r="GY53" s="4"/>
      <c r="GZ53" s="4"/>
      <c r="HA53" s="4"/>
      <c r="HB53" s="4"/>
      <c r="HC53" s="4"/>
      <c r="HD53" s="4"/>
      <c r="HE53" s="4"/>
      <c r="HF53" s="4"/>
      <c r="HG53" s="4"/>
      <c r="HH53" s="4"/>
      <c r="HI53" s="4"/>
      <c r="HJ53" s="4"/>
      <c r="HK53" s="4"/>
      <c r="HL53" s="4"/>
      <c r="HM53" s="4"/>
      <c r="HN53" s="4"/>
      <c r="HO53" s="4"/>
      <c r="HP53" s="4"/>
      <c r="HQ53" s="4"/>
      <c r="HR53" s="4"/>
      <c r="HS53" s="4"/>
      <c r="HT53" s="4"/>
      <c r="HU53" s="4"/>
      <c r="HV53" s="4"/>
      <c r="HW53" s="4"/>
      <c r="HX53" s="4"/>
      <c r="HY53" s="4"/>
      <c r="HZ53" s="4"/>
      <c r="IA53" s="4"/>
      <c r="IB53" s="4"/>
      <c r="IC53" s="4"/>
      <c r="ID53" s="4"/>
      <c r="IE53" s="4"/>
      <c r="IF53" s="4"/>
      <c r="IG53" s="4"/>
      <c r="IH53" s="4"/>
      <c r="II53" s="4"/>
      <c r="IJ53" s="4"/>
      <c r="IK53" s="4"/>
      <c r="IL53" s="4"/>
      <c r="IM53" s="4"/>
      <c r="IN53" s="4"/>
      <c r="IO53" s="4"/>
      <c r="IP53" s="4"/>
      <c r="IQ53" s="4"/>
    </row>
    <row r="54" spans="1:251" ht="8.25" customHeight="1" x14ac:dyDescent="0.25"/>
  </sheetData>
  <sheetProtection algorithmName="SHA-512" hashValue="gADdwGEgI9c4PIYlpyd4VAF8ASRYq0JkYfHUHUserihr1lYxFRHcbRYEFAKOe8Pu26w+e04MpBqN0qwdMnSeRQ==" saltValue="xZwOTzuDG2r7TdTPLSKX0Q==" spinCount="100000" sheet="1" formatCells="0"/>
  <mergeCells count="10">
    <mergeCell ref="B13:H13"/>
    <mergeCell ref="B14:H14"/>
    <mergeCell ref="G21:H21"/>
    <mergeCell ref="B31:H31"/>
    <mergeCell ref="B1:D1"/>
    <mergeCell ref="D4:F4"/>
    <mergeCell ref="A5:H5"/>
    <mergeCell ref="C11:G11"/>
    <mergeCell ref="B12:D12"/>
    <mergeCell ref="E12:F12"/>
  </mergeCells>
  <conditionalFormatting sqref="B14">
    <cfRule type="cellIs" dxfId="5" priority="2" operator="equal">
      <formula>""</formula>
    </cfRule>
  </conditionalFormatting>
  <conditionalFormatting sqref="G24">
    <cfRule type="cellIs" dxfId="4" priority="3" operator="equal">
      <formula>""</formula>
    </cfRule>
  </conditionalFormatting>
  <conditionalFormatting sqref="G21">
    <cfRule type="cellIs" dxfId="3" priority="4" operator="equal">
      <formula>""</formula>
    </cfRule>
  </conditionalFormatting>
  <conditionalFormatting sqref="D44">
    <cfRule type="cellIs" dxfId="2" priority="5" operator="equal">
      <formula>""</formula>
    </cfRule>
  </conditionalFormatting>
  <conditionalFormatting sqref="B12">
    <cfRule type="cellIs" dxfId="1" priority="6" operator="equal">
      <formula>""</formula>
    </cfRule>
  </conditionalFormatting>
  <conditionalFormatting sqref="B13">
    <cfRule type="cellIs" dxfId="0" priority="7" operator="equal">
      <formula>""</formula>
    </cfRule>
  </conditionalFormatting>
  <dataValidations disablePrompts="1" count="1">
    <dataValidation operator="equal" allowBlank="1" showErrorMessage="1" sqref="G24 G44">
      <formula1>0</formula1>
      <formula2>0</formula2>
    </dataValidation>
  </dataValidations>
  <pageMargins left="0.78749999999999998" right="0.78749999999999998" top="0.78749999999999998" bottom="0.78749999999999998" header="0.51180555555555496" footer="0.51180555555555496"/>
  <pageSetup paperSize="9" scale="52" firstPageNumber="0" orientation="portrait" verticalDpi="0" r:id="rId1"/>
  <colBreaks count="1" manualBreakCount="1">
    <brk id="8" max="1048575"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775"/>
  <sheetViews>
    <sheetView view="pageBreakPreview" zoomScaleNormal="100" zoomScaleSheetLayoutView="100" workbookViewId="0">
      <selection sqref="A1:B4"/>
    </sheetView>
  </sheetViews>
  <sheetFormatPr defaultRowHeight="15" x14ac:dyDescent="0.25"/>
  <cols>
    <col min="1" max="1" width="8.7109375"/>
    <col min="2" max="2" width="54.5703125"/>
    <col min="3" max="3" width="5"/>
    <col min="4" max="4" width="12.7109375"/>
    <col min="5" max="5" width="0" hidden="1"/>
    <col min="6" max="6" width="12.7109375"/>
    <col min="7" max="7" width="18.42578125"/>
    <col min="8" max="8" width="8.140625"/>
    <col min="9" max="9" width="15.85546875"/>
    <col min="10" max="10" width="16.140625"/>
    <col min="11" max="11" width="15.85546875"/>
    <col min="12" max="12" width="16.85546875"/>
    <col min="13" max="1025" width="8.140625"/>
  </cols>
  <sheetData>
    <row r="1" spans="1:7" x14ac:dyDescent="0.25">
      <c r="A1" s="102" t="s">
        <v>0</v>
      </c>
      <c r="B1" s="102"/>
      <c r="C1" s="45"/>
      <c r="D1" s="45"/>
      <c r="F1" s="45"/>
      <c r="G1" s="45"/>
    </row>
    <row r="2" spans="1:7" x14ac:dyDescent="0.25">
      <c r="A2" s="102"/>
      <c r="B2" s="102"/>
      <c r="C2" s="45"/>
      <c r="D2" s="45"/>
      <c r="F2" s="45"/>
      <c r="G2" s="45"/>
    </row>
    <row r="3" spans="1:7" x14ac:dyDescent="0.25">
      <c r="A3" s="102"/>
      <c r="B3" s="102"/>
      <c r="C3" s="45"/>
      <c r="D3" s="45"/>
      <c r="F3" s="45"/>
      <c r="G3" s="45"/>
    </row>
    <row r="4" spans="1:7" x14ac:dyDescent="0.25">
      <c r="A4" s="102"/>
      <c r="B4" s="102"/>
      <c r="C4" s="45"/>
      <c r="D4" s="45"/>
      <c r="F4" s="45"/>
      <c r="G4" s="45"/>
    </row>
    <row r="5" spans="1:7" x14ac:dyDescent="0.25">
      <c r="A5" s="45"/>
      <c r="B5" s="45"/>
      <c r="C5" s="45"/>
      <c r="D5" s="45"/>
      <c r="F5" s="45"/>
      <c r="G5" s="45"/>
    </row>
    <row r="6" spans="1:7" x14ac:dyDescent="0.25">
      <c r="A6" s="46" t="s">
        <v>30</v>
      </c>
      <c r="B6" s="46" t="s">
        <v>31</v>
      </c>
      <c r="C6" s="47"/>
      <c r="D6" s="47"/>
      <c r="E6" s="103"/>
      <c r="F6" s="103"/>
      <c r="G6" s="103"/>
    </row>
    <row r="7" spans="1:7" x14ac:dyDescent="0.25">
      <c r="A7" s="46" t="s">
        <v>32</v>
      </c>
      <c r="B7" s="48" t="s">
        <v>4</v>
      </c>
      <c r="C7" s="47"/>
      <c r="D7" s="47"/>
      <c r="F7" s="49" t="s">
        <v>33</v>
      </c>
      <c r="G7" s="50">
        <f>TRUNC('Proposta de preços'!E21,2)</f>
        <v>1</v>
      </c>
    </row>
    <row r="8" spans="1:7" x14ac:dyDescent="0.25">
      <c r="A8" s="46"/>
      <c r="B8" s="51"/>
      <c r="C8" s="47"/>
      <c r="D8" s="47"/>
      <c r="E8" s="47"/>
      <c r="F8" s="47"/>
      <c r="G8" s="47"/>
    </row>
    <row r="9" spans="1:7" ht="15" customHeight="1" x14ac:dyDescent="0.25">
      <c r="A9" s="104" t="s">
        <v>34</v>
      </c>
      <c r="B9" s="104"/>
      <c r="C9" s="104"/>
      <c r="D9" s="104"/>
      <c r="E9" s="104"/>
      <c r="F9" s="104"/>
      <c r="G9" s="104"/>
    </row>
    <row r="10" spans="1:7" s="54" customFormat="1" ht="22.5" customHeight="1" x14ac:dyDescent="0.2">
      <c r="A10" s="52" t="s">
        <v>35</v>
      </c>
      <c r="B10" s="52" t="s">
        <v>36</v>
      </c>
      <c r="C10" s="52" t="s">
        <v>37</v>
      </c>
      <c r="D10" s="53" t="s">
        <v>38</v>
      </c>
      <c r="E10" s="53" t="s">
        <v>39</v>
      </c>
      <c r="F10" s="53" t="s">
        <v>40</v>
      </c>
      <c r="G10" s="53" t="s">
        <v>41</v>
      </c>
    </row>
    <row r="11" spans="1:7" s="58" customFormat="1" ht="15" customHeight="1" x14ac:dyDescent="0.2">
      <c r="A11" s="55" t="s">
        <v>42</v>
      </c>
      <c r="B11" s="55" t="s">
        <v>43</v>
      </c>
      <c r="C11" s="55"/>
      <c r="D11" s="56"/>
      <c r="E11" s="57"/>
      <c r="F11" s="57"/>
      <c r="G11" s="57">
        <f>G12+G26+G31+G38+G41</f>
        <v>273910.19299999997</v>
      </c>
    </row>
    <row r="12" spans="1:7" ht="15" customHeight="1" x14ac:dyDescent="0.25">
      <c r="A12" s="55" t="s">
        <v>44</v>
      </c>
      <c r="B12" s="55" t="s">
        <v>45</v>
      </c>
      <c r="C12" s="55"/>
      <c r="D12" s="56"/>
      <c r="E12" s="57"/>
      <c r="F12" s="56"/>
      <c r="G12" s="56">
        <f>SUM(G13:G25)</f>
        <v>43840.712999999996</v>
      </c>
    </row>
    <row r="13" spans="1:7" ht="20.100000000000001" customHeight="1" x14ac:dyDescent="0.25">
      <c r="A13" s="59" t="s">
        <v>46</v>
      </c>
      <c r="B13" s="59" t="s">
        <v>47</v>
      </c>
      <c r="C13" s="60" t="s">
        <v>48</v>
      </c>
      <c r="D13" s="61">
        <v>1</v>
      </c>
      <c r="E13" s="62">
        <v>4049.84</v>
      </c>
      <c r="F13" s="62">
        <f>4049.84*$G$7</f>
        <v>4049.84</v>
      </c>
      <c r="G13" s="62">
        <f t="shared" ref="G13:G25" si="0">D13*F13</f>
        <v>4049.84</v>
      </c>
    </row>
    <row r="14" spans="1:7" s="70" customFormat="1" ht="20.100000000000001" customHeight="1" x14ac:dyDescent="0.25">
      <c r="A14" s="59" t="s">
        <v>49</v>
      </c>
      <c r="B14" s="59" t="s">
        <v>50</v>
      </c>
      <c r="C14" s="60" t="s">
        <v>48</v>
      </c>
      <c r="D14" s="61">
        <v>1</v>
      </c>
      <c r="E14" s="62">
        <v>4049.84</v>
      </c>
      <c r="F14" s="62">
        <f>4049.84*$G$7</f>
        <v>4049.84</v>
      </c>
      <c r="G14" s="62">
        <f t="shared" si="0"/>
        <v>4049.84</v>
      </c>
    </row>
    <row r="15" spans="1:7" s="70" customFormat="1" ht="20.100000000000001" customHeight="1" x14ac:dyDescent="0.25">
      <c r="A15" s="59" t="s">
        <v>51</v>
      </c>
      <c r="B15" s="59" t="s">
        <v>52</v>
      </c>
      <c r="C15" s="60" t="s">
        <v>53</v>
      </c>
      <c r="D15" s="61">
        <v>2</v>
      </c>
      <c r="E15" s="62">
        <v>332.47</v>
      </c>
      <c r="F15" s="62">
        <f>332.47*$G$7</f>
        <v>332.47</v>
      </c>
      <c r="G15" s="62">
        <f t="shared" si="0"/>
        <v>664.94</v>
      </c>
    </row>
    <row r="16" spans="1:7" s="70" customFormat="1" ht="24.95" customHeight="1" x14ac:dyDescent="0.25">
      <c r="A16" s="59" t="s">
        <v>54</v>
      </c>
      <c r="B16" s="59" t="s">
        <v>55</v>
      </c>
      <c r="C16" s="60" t="s">
        <v>53</v>
      </c>
      <c r="D16" s="61">
        <v>60.9</v>
      </c>
      <c r="E16" s="62">
        <v>65.790000000000006</v>
      </c>
      <c r="F16" s="62">
        <f>65.79*$G$7</f>
        <v>65.790000000000006</v>
      </c>
      <c r="G16" s="62">
        <f t="shared" si="0"/>
        <v>4006.6110000000003</v>
      </c>
    </row>
    <row r="17" spans="1:7" s="70" customFormat="1" ht="24.95" customHeight="1" x14ac:dyDescent="0.25">
      <c r="A17" s="59" t="s">
        <v>56</v>
      </c>
      <c r="B17" s="59" t="s">
        <v>57</v>
      </c>
      <c r="C17" s="60" t="s">
        <v>48</v>
      </c>
      <c r="D17" s="61">
        <v>1</v>
      </c>
      <c r="E17" s="62">
        <v>1288.0899999999999</v>
      </c>
      <c r="F17" s="62">
        <f>1288.09*$G$7</f>
        <v>1288.0899999999999</v>
      </c>
      <c r="G17" s="62">
        <f t="shared" si="0"/>
        <v>1288.0899999999999</v>
      </c>
    </row>
    <row r="18" spans="1:7" s="70" customFormat="1" ht="35.1" customHeight="1" x14ac:dyDescent="0.25">
      <c r="A18" s="59" t="s">
        <v>58</v>
      </c>
      <c r="B18" s="59" t="s">
        <v>59</v>
      </c>
      <c r="C18" s="60" t="s">
        <v>48</v>
      </c>
      <c r="D18" s="61">
        <v>1</v>
      </c>
      <c r="E18" s="62">
        <v>132.51</v>
      </c>
      <c r="F18" s="62">
        <f>132.51*$G$7</f>
        <v>132.51</v>
      </c>
      <c r="G18" s="62">
        <f t="shared" si="0"/>
        <v>132.51</v>
      </c>
    </row>
    <row r="19" spans="1:7" s="70" customFormat="1" ht="20.100000000000001" customHeight="1" x14ac:dyDescent="0.25">
      <c r="A19" s="59" t="s">
        <v>60</v>
      </c>
      <c r="B19" s="59" t="s">
        <v>61</v>
      </c>
      <c r="C19" s="60" t="s">
        <v>62</v>
      </c>
      <c r="D19" s="61">
        <v>1</v>
      </c>
      <c r="E19" s="62">
        <v>815.93</v>
      </c>
      <c r="F19" s="62">
        <f>815.93*$G$7</f>
        <v>815.93</v>
      </c>
      <c r="G19" s="62">
        <f t="shared" si="0"/>
        <v>815.93</v>
      </c>
    </row>
    <row r="20" spans="1:7" s="70" customFormat="1" ht="24.95" customHeight="1" x14ac:dyDescent="0.25">
      <c r="A20" s="59" t="s">
        <v>63</v>
      </c>
      <c r="B20" s="59" t="s">
        <v>64</v>
      </c>
      <c r="C20" s="60" t="s">
        <v>48</v>
      </c>
      <c r="D20" s="61">
        <v>1</v>
      </c>
      <c r="E20" s="62">
        <v>1696.08</v>
      </c>
      <c r="F20" s="62">
        <f>1696.08*$G$7</f>
        <v>1696.08</v>
      </c>
      <c r="G20" s="62">
        <f t="shared" si="0"/>
        <v>1696.08</v>
      </c>
    </row>
    <row r="21" spans="1:7" s="70" customFormat="1" ht="24.95" customHeight="1" x14ac:dyDescent="0.25">
      <c r="A21" s="59" t="s">
        <v>65</v>
      </c>
      <c r="B21" s="59" t="s">
        <v>66</v>
      </c>
      <c r="C21" s="60" t="s">
        <v>53</v>
      </c>
      <c r="D21" s="61">
        <v>6</v>
      </c>
      <c r="E21" s="62">
        <v>726.38</v>
      </c>
      <c r="F21" s="62">
        <f>726.38*$G$7</f>
        <v>726.38</v>
      </c>
      <c r="G21" s="62">
        <f t="shared" si="0"/>
        <v>4358.28</v>
      </c>
    </row>
    <row r="22" spans="1:7" s="70" customFormat="1" ht="24.95" customHeight="1" x14ac:dyDescent="0.25">
      <c r="A22" s="59" t="s">
        <v>67</v>
      </c>
      <c r="B22" s="59" t="s">
        <v>68</v>
      </c>
      <c r="C22" s="60" t="s">
        <v>53</v>
      </c>
      <c r="D22" s="61">
        <v>12</v>
      </c>
      <c r="E22" s="62">
        <v>568.27</v>
      </c>
      <c r="F22" s="62">
        <f>568.27*$G$7</f>
        <v>568.27</v>
      </c>
      <c r="G22" s="62">
        <f t="shared" si="0"/>
        <v>6819.24</v>
      </c>
    </row>
    <row r="23" spans="1:7" s="70" customFormat="1" ht="24.95" customHeight="1" x14ac:dyDescent="0.25">
      <c r="A23" s="59" t="s">
        <v>69</v>
      </c>
      <c r="B23" s="59" t="s">
        <v>70</v>
      </c>
      <c r="C23" s="60" t="s">
        <v>53</v>
      </c>
      <c r="D23" s="61">
        <v>8</v>
      </c>
      <c r="E23" s="62">
        <v>704.16</v>
      </c>
      <c r="F23" s="62">
        <f>704.16*$G$7</f>
        <v>704.16</v>
      </c>
      <c r="G23" s="62">
        <f t="shared" si="0"/>
        <v>5633.28</v>
      </c>
    </row>
    <row r="24" spans="1:7" s="70" customFormat="1" ht="24.95" customHeight="1" x14ac:dyDescent="0.25">
      <c r="A24" s="59" t="s">
        <v>71</v>
      </c>
      <c r="B24" s="59" t="s">
        <v>72</v>
      </c>
      <c r="C24" s="60" t="s">
        <v>53</v>
      </c>
      <c r="D24" s="61">
        <v>10</v>
      </c>
      <c r="E24" s="62">
        <v>435.3</v>
      </c>
      <c r="F24" s="62">
        <f>435.3*$G$7</f>
        <v>435.3</v>
      </c>
      <c r="G24" s="62">
        <f t="shared" si="0"/>
        <v>4353</v>
      </c>
    </row>
    <row r="25" spans="1:7" s="70" customFormat="1" ht="24.95" customHeight="1" x14ac:dyDescent="0.25">
      <c r="A25" s="59" t="s">
        <v>73</v>
      </c>
      <c r="B25" s="59" t="s">
        <v>74</v>
      </c>
      <c r="C25" s="60" t="s">
        <v>53</v>
      </c>
      <c r="D25" s="61">
        <v>858.2</v>
      </c>
      <c r="E25" s="62">
        <v>6.96</v>
      </c>
      <c r="F25" s="62">
        <f>6.96*$G$7</f>
        <v>6.96</v>
      </c>
      <c r="G25" s="62">
        <f t="shared" si="0"/>
        <v>5973.0720000000001</v>
      </c>
    </row>
    <row r="26" spans="1:7" s="58" customFormat="1" ht="15" customHeight="1" x14ac:dyDescent="0.2">
      <c r="A26" s="55" t="s">
        <v>75</v>
      </c>
      <c r="B26" s="55" t="s">
        <v>76</v>
      </c>
      <c r="C26" s="55"/>
      <c r="D26" s="56"/>
      <c r="E26" s="57"/>
      <c r="F26" s="57"/>
      <c r="G26" s="57">
        <f>SUM(G27:G30)</f>
        <v>5359.89</v>
      </c>
    </row>
    <row r="27" spans="1:7" ht="15" customHeight="1" x14ac:dyDescent="0.25">
      <c r="A27" s="59" t="s">
        <v>77</v>
      </c>
      <c r="B27" s="59" t="s">
        <v>78</v>
      </c>
      <c r="C27" s="60" t="s">
        <v>48</v>
      </c>
      <c r="D27" s="61">
        <v>1</v>
      </c>
      <c r="E27" s="62">
        <v>3983.73</v>
      </c>
      <c r="F27" s="62">
        <f>3983.73*$G$7</f>
        <v>3983.73</v>
      </c>
      <c r="G27" s="62">
        <f>D27*F27</f>
        <v>3983.73</v>
      </c>
    </row>
    <row r="28" spans="1:7" ht="15" customHeight="1" x14ac:dyDescent="0.25">
      <c r="A28" s="59" t="s">
        <v>79</v>
      </c>
      <c r="B28" s="59" t="s">
        <v>80</v>
      </c>
      <c r="C28" s="60" t="s">
        <v>48</v>
      </c>
      <c r="D28" s="61">
        <v>1</v>
      </c>
      <c r="E28" s="62">
        <v>58.03</v>
      </c>
      <c r="F28" s="62">
        <f>58.03*$G$7</f>
        <v>58.03</v>
      </c>
      <c r="G28" s="62">
        <f>D28*F28</f>
        <v>58.03</v>
      </c>
    </row>
    <row r="29" spans="1:7" ht="15" customHeight="1" x14ac:dyDescent="0.25">
      <c r="A29" s="59" t="s">
        <v>81</v>
      </c>
      <c r="B29" s="59" t="s">
        <v>82</v>
      </c>
      <c r="C29" s="60" t="s">
        <v>48</v>
      </c>
      <c r="D29" s="61">
        <v>1</v>
      </c>
      <c r="E29" s="62">
        <v>1055.8</v>
      </c>
      <c r="F29" s="62">
        <f>1055.8*$G$7</f>
        <v>1055.8</v>
      </c>
      <c r="G29" s="62">
        <f>D29*F29</f>
        <v>1055.8</v>
      </c>
    </row>
    <row r="30" spans="1:7" s="58" customFormat="1" ht="15" customHeight="1" x14ac:dyDescent="0.2">
      <c r="A30" s="59" t="s">
        <v>83</v>
      </c>
      <c r="B30" s="59" t="s">
        <v>84</v>
      </c>
      <c r="C30" s="60" t="s">
        <v>48</v>
      </c>
      <c r="D30" s="61">
        <v>1</v>
      </c>
      <c r="E30" s="62">
        <v>262.33</v>
      </c>
      <c r="F30" s="62">
        <f>262.33*$G$7</f>
        <v>262.33</v>
      </c>
      <c r="G30" s="62">
        <f>D30*F30</f>
        <v>262.33</v>
      </c>
    </row>
    <row r="31" spans="1:7" s="58" customFormat="1" ht="15" customHeight="1" x14ac:dyDescent="0.2">
      <c r="A31" s="55" t="s">
        <v>85</v>
      </c>
      <c r="B31" s="55" t="s">
        <v>86</v>
      </c>
      <c r="C31" s="55"/>
      <c r="D31" s="56"/>
      <c r="E31" s="57"/>
      <c r="F31" s="57"/>
      <c r="G31" s="57">
        <f>SUM(G32:G37)</f>
        <v>221993.76</v>
      </c>
    </row>
    <row r="32" spans="1:7" ht="15" customHeight="1" x14ac:dyDescent="0.25">
      <c r="A32" s="59" t="s">
        <v>87</v>
      </c>
      <c r="B32" s="59" t="s">
        <v>88</v>
      </c>
      <c r="C32" s="60" t="s">
        <v>89</v>
      </c>
      <c r="D32" s="61">
        <v>4</v>
      </c>
      <c r="E32" s="62">
        <v>18112.09</v>
      </c>
      <c r="F32" s="62">
        <f>18112.09*$G$7</f>
        <v>18112.09</v>
      </c>
      <c r="G32" s="62">
        <f t="shared" ref="G32:G37" si="1">F32*D32</f>
        <v>72448.36</v>
      </c>
    </row>
    <row r="33" spans="1:8" s="58" customFormat="1" ht="15" customHeight="1" x14ac:dyDescent="0.2">
      <c r="A33" s="59" t="s">
        <v>90</v>
      </c>
      <c r="B33" s="59" t="s">
        <v>91</v>
      </c>
      <c r="C33" s="60" t="s">
        <v>89</v>
      </c>
      <c r="D33" s="61">
        <v>8</v>
      </c>
      <c r="E33" s="62">
        <v>6369.55</v>
      </c>
      <c r="F33" s="62">
        <f>6369.55*$G$7</f>
        <v>6369.55</v>
      </c>
      <c r="G33" s="62">
        <f t="shared" si="1"/>
        <v>50956.4</v>
      </c>
    </row>
    <row r="34" spans="1:8" s="58" customFormat="1" ht="15" customHeight="1" x14ac:dyDescent="0.2">
      <c r="A34" s="59" t="s">
        <v>92</v>
      </c>
      <c r="B34" s="59" t="s">
        <v>93</v>
      </c>
      <c r="C34" s="60" t="s">
        <v>94</v>
      </c>
      <c r="D34" s="61">
        <v>4</v>
      </c>
      <c r="E34" s="62">
        <v>6334.81</v>
      </c>
      <c r="F34" s="62">
        <f>6334.81*$G$7</f>
        <v>6334.81</v>
      </c>
      <c r="G34" s="62">
        <f t="shared" si="1"/>
        <v>25339.24</v>
      </c>
    </row>
    <row r="35" spans="1:8" s="58" customFormat="1" ht="15" customHeight="1" x14ac:dyDescent="0.2">
      <c r="A35" s="59" t="s">
        <v>95</v>
      </c>
      <c r="B35" s="59" t="s">
        <v>96</v>
      </c>
      <c r="C35" s="60" t="s">
        <v>94</v>
      </c>
      <c r="D35" s="61">
        <v>8</v>
      </c>
      <c r="E35" s="62">
        <v>3989.2</v>
      </c>
      <c r="F35" s="62">
        <f>3989.2*$G$7</f>
        <v>3989.2</v>
      </c>
      <c r="G35" s="62">
        <f t="shared" si="1"/>
        <v>31913.599999999999</v>
      </c>
    </row>
    <row r="36" spans="1:8" s="58" customFormat="1" ht="15" customHeight="1" x14ac:dyDescent="0.2">
      <c r="A36" s="59" t="s">
        <v>97</v>
      </c>
      <c r="B36" s="59" t="s">
        <v>98</v>
      </c>
      <c r="C36" s="60" t="s">
        <v>89</v>
      </c>
      <c r="D36" s="61">
        <v>8</v>
      </c>
      <c r="E36" s="62">
        <v>4118.87</v>
      </c>
      <c r="F36" s="62">
        <f>4118.87*$G$7</f>
        <v>4118.87</v>
      </c>
      <c r="G36" s="62">
        <f t="shared" si="1"/>
        <v>32950.959999999999</v>
      </c>
    </row>
    <row r="37" spans="1:8" s="58" customFormat="1" ht="15" customHeight="1" x14ac:dyDescent="0.2">
      <c r="A37" s="59" t="s">
        <v>99</v>
      </c>
      <c r="B37" s="59" t="s">
        <v>100</v>
      </c>
      <c r="C37" s="60" t="s">
        <v>101</v>
      </c>
      <c r="D37" s="61">
        <v>8</v>
      </c>
      <c r="E37" s="62">
        <v>1048.1500000000001</v>
      </c>
      <c r="F37" s="62">
        <f>1048.15*$G$7</f>
        <v>1048.1500000000001</v>
      </c>
      <c r="G37" s="62">
        <f t="shared" si="1"/>
        <v>8385.2000000000007</v>
      </c>
    </row>
    <row r="38" spans="1:8" s="58" customFormat="1" ht="15" customHeight="1" x14ac:dyDescent="0.2">
      <c r="A38" s="55" t="s">
        <v>102</v>
      </c>
      <c r="B38" s="55" t="s">
        <v>103</v>
      </c>
      <c r="C38" s="55"/>
      <c r="D38" s="56"/>
      <c r="E38" s="57"/>
      <c r="F38" s="57"/>
      <c r="G38" s="56">
        <f>SUM(G39:G40)</f>
        <v>1953.92</v>
      </c>
    </row>
    <row r="39" spans="1:8" ht="30" customHeight="1" x14ac:dyDescent="0.25">
      <c r="A39" s="59" t="s">
        <v>104</v>
      </c>
      <c r="B39" s="59" t="s">
        <v>105</v>
      </c>
      <c r="C39" s="60" t="s">
        <v>48</v>
      </c>
      <c r="D39" s="61">
        <v>1</v>
      </c>
      <c r="E39" s="62">
        <v>976.96</v>
      </c>
      <c r="F39" s="62">
        <f>976.96*$G$7</f>
        <v>976.96</v>
      </c>
      <c r="G39" s="62">
        <f>D39*F39</f>
        <v>976.96</v>
      </c>
    </row>
    <row r="40" spans="1:8" ht="22.5" customHeight="1" x14ac:dyDescent="0.25">
      <c r="A40" s="59" t="s">
        <v>106</v>
      </c>
      <c r="B40" s="59" t="s">
        <v>107</v>
      </c>
      <c r="C40" s="60" t="s">
        <v>48</v>
      </c>
      <c r="D40" s="61">
        <v>1</v>
      </c>
      <c r="E40" s="62">
        <v>976.96</v>
      </c>
      <c r="F40" s="62">
        <f>976.96*$G$7</f>
        <v>976.96</v>
      </c>
      <c r="G40" s="62">
        <f>D40*F40</f>
        <v>976.96</v>
      </c>
    </row>
    <row r="41" spans="1:8" ht="15" customHeight="1" x14ac:dyDescent="0.25">
      <c r="A41" s="55" t="s">
        <v>108</v>
      </c>
      <c r="B41" s="55" t="s">
        <v>109</v>
      </c>
      <c r="C41" s="55"/>
      <c r="D41" s="56"/>
      <c r="E41" s="57"/>
      <c r="F41" s="57"/>
      <c r="G41" s="57">
        <f>SUM(G42)</f>
        <v>761.91</v>
      </c>
    </row>
    <row r="42" spans="1:8" ht="15" customHeight="1" x14ac:dyDescent="0.25">
      <c r="A42" s="59" t="s">
        <v>110</v>
      </c>
      <c r="B42" s="59" t="s">
        <v>111</v>
      </c>
      <c r="C42" s="60" t="s">
        <v>48</v>
      </c>
      <c r="D42" s="61">
        <v>1</v>
      </c>
      <c r="E42" s="62">
        <v>761.91</v>
      </c>
      <c r="F42" s="62">
        <f>761.91*$G$7</f>
        <v>761.91</v>
      </c>
      <c r="G42" s="62">
        <f>D42*F42</f>
        <v>761.91</v>
      </c>
    </row>
    <row r="43" spans="1:8" ht="15" customHeight="1" x14ac:dyDescent="0.25">
      <c r="A43" s="55" t="s">
        <v>112</v>
      </c>
      <c r="B43" s="55" t="s">
        <v>113</v>
      </c>
      <c r="C43" s="55"/>
      <c r="D43" s="56"/>
      <c r="E43" s="57"/>
      <c r="F43" s="57"/>
      <c r="G43" s="57">
        <f>G44</f>
        <v>5532</v>
      </c>
    </row>
    <row r="44" spans="1:8" ht="15" customHeight="1" x14ac:dyDescent="0.25">
      <c r="A44" s="59" t="s">
        <v>114</v>
      </c>
      <c r="B44" s="59" t="s">
        <v>115</v>
      </c>
      <c r="C44" s="60" t="s">
        <v>53</v>
      </c>
      <c r="D44" s="61">
        <v>600</v>
      </c>
      <c r="E44" s="62">
        <v>9.2200000000000006</v>
      </c>
      <c r="F44" s="62">
        <f>9.22*$G$7</f>
        <v>9.2200000000000006</v>
      </c>
      <c r="G44" s="62">
        <f>D44*F44</f>
        <v>5532</v>
      </c>
    </row>
    <row r="45" spans="1:8" ht="15" customHeight="1" x14ac:dyDescent="0.25">
      <c r="A45" s="55" t="s">
        <v>116</v>
      </c>
      <c r="B45" s="55" t="s">
        <v>117</v>
      </c>
      <c r="C45" s="55"/>
      <c r="D45" s="56"/>
      <c r="E45" s="57"/>
      <c r="F45" s="57"/>
      <c r="G45" s="57">
        <f>SUM(G46:G50)</f>
        <v>16579.654399999999</v>
      </c>
    </row>
    <row r="46" spans="1:8" ht="30" customHeight="1" x14ac:dyDescent="0.25">
      <c r="A46" s="59" t="s">
        <v>118</v>
      </c>
      <c r="B46" s="63" t="s">
        <v>119</v>
      </c>
      <c r="C46" s="60" t="s">
        <v>53</v>
      </c>
      <c r="D46" s="61">
        <v>1975</v>
      </c>
      <c r="E46" s="62">
        <v>0.14000000000000001</v>
      </c>
      <c r="F46" s="62">
        <f>0.14*$G$7</f>
        <v>0.14000000000000001</v>
      </c>
      <c r="G46" s="62">
        <f>D46*F46</f>
        <v>276.5</v>
      </c>
      <c r="H46" s="58"/>
    </row>
    <row r="47" spans="1:8" s="58" customFormat="1" ht="30" customHeight="1" x14ac:dyDescent="0.2">
      <c r="A47" s="59" t="s">
        <v>120</v>
      </c>
      <c r="B47" s="63" t="s">
        <v>121</v>
      </c>
      <c r="C47" s="60" t="s">
        <v>122</v>
      </c>
      <c r="D47" s="61">
        <v>181.71</v>
      </c>
      <c r="E47" s="62">
        <v>5.93</v>
      </c>
      <c r="F47" s="62">
        <f>5.93*$G$7</f>
        <v>5.93</v>
      </c>
      <c r="G47" s="62">
        <f>D47*F47</f>
        <v>1077.5402999999999</v>
      </c>
    </row>
    <row r="48" spans="1:8" s="58" customFormat="1" ht="30" customHeight="1" x14ac:dyDescent="0.2">
      <c r="A48" s="59" t="s">
        <v>123</v>
      </c>
      <c r="B48" s="63" t="s">
        <v>124</v>
      </c>
      <c r="C48" s="60" t="s">
        <v>122</v>
      </c>
      <c r="D48" s="61">
        <v>165.09</v>
      </c>
      <c r="E48" s="62">
        <v>58.49</v>
      </c>
      <c r="F48" s="62">
        <f>58.49*$G$7</f>
        <v>58.49</v>
      </c>
      <c r="G48" s="62">
        <f>D48*F48</f>
        <v>9656.1141000000007</v>
      </c>
    </row>
    <row r="49" spans="1:7" s="58" customFormat="1" ht="39.950000000000003" customHeight="1" x14ac:dyDescent="0.2">
      <c r="A49" s="59" t="s">
        <v>125</v>
      </c>
      <c r="B49" s="63" t="s">
        <v>126</v>
      </c>
      <c r="C49" s="60" t="s">
        <v>122</v>
      </c>
      <c r="D49" s="61">
        <v>395</v>
      </c>
      <c r="E49" s="62">
        <v>1.9</v>
      </c>
      <c r="F49" s="62">
        <f>1.9*$G$7</f>
        <v>1.9</v>
      </c>
      <c r="G49" s="62">
        <f>D49*F49</f>
        <v>750.5</v>
      </c>
    </row>
    <row r="50" spans="1:7" s="58" customFormat="1" ht="30" customHeight="1" x14ac:dyDescent="0.2">
      <c r="A50" s="59" t="s">
        <v>127</v>
      </c>
      <c r="B50" s="63" t="s">
        <v>128</v>
      </c>
      <c r="C50" s="60" t="s">
        <v>129</v>
      </c>
      <c r="D50" s="61">
        <v>3950</v>
      </c>
      <c r="E50" s="62">
        <v>1.22</v>
      </c>
      <c r="F50" s="62">
        <f>1.22*$G$7</f>
        <v>1.22</v>
      </c>
      <c r="G50" s="62">
        <f>D50*F50</f>
        <v>4819</v>
      </c>
    </row>
    <row r="51" spans="1:7" ht="15" customHeight="1" x14ac:dyDescent="0.25">
      <c r="A51" s="55" t="s">
        <v>130</v>
      </c>
      <c r="B51" s="55" t="s">
        <v>131</v>
      </c>
      <c r="C51" s="55"/>
      <c r="D51" s="56"/>
      <c r="E51" s="57"/>
      <c r="F51" s="57"/>
      <c r="G51" s="57">
        <f>G52+G61+G63+G70+G72</f>
        <v>123233.02190000001</v>
      </c>
    </row>
    <row r="52" spans="1:7" ht="15" customHeight="1" x14ac:dyDescent="0.25">
      <c r="A52" s="55" t="s">
        <v>132</v>
      </c>
      <c r="B52" s="55" t="s">
        <v>133</v>
      </c>
      <c r="C52" s="55"/>
      <c r="D52" s="56"/>
      <c r="E52" s="57"/>
      <c r="F52" s="57"/>
      <c r="G52" s="57">
        <f>SUM(G53:G60)</f>
        <v>29233.376999999997</v>
      </c>
    </row>
    <row r="53" spans="1:7" ht="60" customHeight="1" x14ac:dyDescent="0.25">
      <c r="A53" s="59" t="s">
        <v>134</v>
      </c>
      <c r="B53" s="63" t="s">
        <v>135</v>
      </c>
      <c r="C53" s="60" t="s">
        <v>122</v>
      </c>
      <c r="D53" s="61">
        <v>386.45</v>
      </c>
      <c r="E53" s="62">
        <v>11.44</v>
      </c>
      <c r="F53" s="62">
        <f>11.44*$G$7</f>
        <v>11.44</v>
      </c>
      <c r="G53" s="62">
        <f t="shared" ref="G53:G60" si="2">F53*D53</f>
        <v>4420.9879999999994</v>
      </c>
    </row>
    <row r="54" spans="1:7" ht="30" customHeight="1" x14ac:dyDescent="0.25">
      <c r="A54" s="59" t="s">
        <v>136</v>
      </c>
      <c r="B54" s="63" t="s">
        <v>137</v>
      </c>
      <c r="C54" s="60" t="s">
        <v>53</v>
      </c>
      <c r="D54" s="61">
        <v>227.54</v>
      </c>
      <c r="E54" s="62">
        <v>6.02</v>
      </c>
      <c r="F54" s="62">
        <f>6.02*$G$7</f>
        <v>6.02</v>
      </c>
      <c r="G54" s="62">
        <f t="shared" si="2"/>
        <v>1369.7907999999998</v>
      </c>
    </row>
    <row r="55" spans="1:7" ht="30" customHeight="1" x14ac:dyDescent="0.25">
      <c r="A55" s="59" t="s">
        <v>138</v>
      </c>
      <c r="B55" s="63" t="s">
        <v>139</v>
      </c>
      <c r="C55" s="60" t="s">
        <v>53</v>
      </c>
      <c r="D55" s="61">
        <v>48.92</v>
      </c>
      <c r="E55" s="62">
        <v>2.96</v>
      </c>
      <c r="F55" s="62">
        <f>2.96*$G$7</f>
        <v>2.96</v>
      </c>
      <c r="G55" s="62">
        <f t="shared" si="2"/>
        <v>144.8032</v>
      </c>
    </row>
    <row r="56" spans="1:7" ht="30" customHeight="1" x14ac:dyDescent="0.25">
      <c r="A56" s="59" t="s">
        <v>140</v>
      </c>
      <c r="B56" s="63" t="s">
        <v>141</v>
      </c>
      <c r="C56" s="60" t="s">
        <v>53</v>
      </c>
      <c r="D56" s="61">
        <v>276.45999999999998</v>
      </c>
      <c r="E56" s="62">
        <v>26.1</v>
      </c>
      <c r="F56" s="62">
        <f>26.1*$G$7</f>
        <v>26.1</v>
      </c>
      <c r="G56" s="62">
        <f t="shared" si="2"/>
        <v>7215.6059999999998</v>
      </c>
    </row>
    <row r="57" spans="1:7" ht="30" customHeight="1" x14ac:dyDescent="0.25">
      <c r="A57" s="59" t="s">
        <v>142</v>
      </c>
      <c r="B57" s="63" t="s">
        <v>143</v>
      </c>
      <c r="C57" s="60" t="s">
        <v>122</v>
      </c>
      <c r="D57" s="61">
        <v>298.39999999999998</v>
      </c>
      <c r="E57" s="62">
        <v>29.06</v>
      </c>
      <c r="F57" s="62">
        <f>29.06*$G$7</f>
        <v>29.06</v>
      </c>
      <c r="G57" s="62">
        <f t="shared" si="2"/>
        <v>8671.503999999999</v>
      </c>
    </row>
    <row r="58" spans="1:7" ht="30" customHeight="1" x14ac:dyDescent="0.25">
      <c r="A58" s="59" t="s">
        <v>144</v>
      </c>
      <c r="B58" s="63" t="s">
        <v>145</v>
      </c>
      <c r="C58" s="60" t="s">
        <v>53</v>
      </c>
      <c r="D58" s="61">
        <v>824.5</v>
      </c>
      <c r="E58" s="62">
        <v>7.03</v>
      </c>
      <c r="F58" s="62">
        <f>7.03*$G$7</f>
        <v>7.03</v>
      </c>
      <c r="G58" s="62">
        <f t="shared" si="2"/>
        <v>5796.2350000000006</v>
      </c>
    </row>
    <row r="59" spans="1:7" ht="30" customHeight="1" x14ac:dyDescent="0.25">
      <c r="A59" s="59" t="s">
        <v>146</v>
      </c>
      <c r="B59" s="63" t="s">
        <v>126</v>
      </c>
      <c r="C59" s="60" t="s">
        <v>122</v>
      </c>
      <c r="D59" s="61">
        <v>114.5</v>
      </c>
      <c r="E59" s="62">
        <v>1.9</v>
      </c>
      <c r="F59" s="62">
        <f>1.9*$G$7</f>
        <v>1.9</v>
      </c>
      <c r="G59" s="62">
        <f t="shared" si="2"/>
        <v>217.54999999999998</v>
      </c>
    </row>
    <row r="60" spans="1:7" ht="30" customHeight="1" x14ac:dyDescent="0.25">
      <c r="A60" s="59" t="s">
        <v>147</v>
      </c>
      <c r="B60" s="63" t="s">
        <v>128</v>
      </c>
      <c r="C60" s="60" t="s">
        <v>129</v>
      </c>
      <c r="D60" s="61">
        <v>1145</v>
      </c>
      <c r="E60" s="62">
        <v>1.22</v>
      </c>
      <c r="F60" s="62">
        <f>1.22*$G$7</f>
        <v>1.22</v>
      </c>
      <c r="G60" s="62">
        <f t="shared" si="2"/>
        <v>1396.8999999999999</v>
      </c>
    </row>
    <row r="61" spans="1:7" ht="15" customHeight="1" x14ac:dyDescent="0.25">
      <c r="A61" s="55" t="s">
        <v>148</v>
      </c>
      <c r="B61" s="55" t="s">
        <v>149</v>
      </c>
      <c r="C61" s="55"/>
      <c r="D61" s="56"/>
      <c r="E61" s="57"/>
      <c r="F61" s="57"/>
      <c r="G61" s="57">
        <f>G62</f>
        <v>27884.6175</v>
      </c>
    </row>
    <row r="62" spans="1:7" ht="15" customHeight="1" x14ac:dyDescent="0.25">
      <c r="A62" s="59" t="s">
        <v>150</v>
      </c>
      <c r="B62" s="59" t="s">
        <v>151</v>
      </c>
      <c r="C62" s="60" t="s">
        <v>53</v>
      </c>
      <c r="D62" s="61">
        <v>539.25</v>
      </c>
      <c r="E62" s="62">
        <v>51.71</v>
      </c>
      <c r="F62" s="62">
        <f>51.71*$G$7</f>
        <v>51.71</v>
      </c>
      <c r="G62" s="62">
        <f>D62*F62</f>
        <v>27884.6175</v>
      </c>
    </row>
    <row r="63" spans="1:7" ht="15" customHeight="1" x14ac:dyDescent="0.25">
      <c r="A63" s="55" t="s">
        <v>152</v>
      </c>
      <c r="B63" s="55" t="s">
        <v>153</v>
      </c>
      <c r="C63" s="55"/>
      <c r="D63" s="56"/>
      <c r="E63" s="57"/>
      <c r="F63" s="57"/>
      <c r="G63" s="57">
        <f>SUM(G64:G69)</f>
        <v>26183.55</v>
      </c>
    </row>
    <row r="64" spans="1:7" ht="30" customHeight="1" x14ac:dyDescent="0.25">
      <c r="A64" s="59" t="s">
        <v>154</v>
      </c>
      <c r="B64" s="63" t="s">
        <v>155</v>
      </c>
      <c r="C64" s="60" t="s">
        <v>156</v>
      </c>
      <c r="D64" s="61">
        <v>356</v>
      </c>
      <c r="E64" s="62">
        <v>14.03</v>
      </c>
      <c r="F64" s="62">
        <f>14.03*$G$7</f>
        <v>14.03</v>
      </c>
      <c r="G64" s="62">
        <f t="shared" ref="G64:G69" si="3">D64*F64</f>
        <v>4994.6799999999994</v>
      </c>
    </row>
    <row r="65" spans="1:7" ht="30" customHeight="1" x14ac:dyDescent="0.25">
      <c r="A65" s="59" t="s">
        <v>157</v>
      </c>
      <c r="B65" s="63" t="s">
        <v>158</v>
      </c>
      <c r="C65" s="60" t="s">
        <v>156</v>
      </c>
      <c r="D65" s="61">
        <v>14</v>
      </c>
      <c r="E65" s="62">
        <v>11.67</v>
      </c>
      <c r="F65" s="62">
        <f>11.67*$G$7</f>
        <v>11.67</v>
      </c>
      <c r="G65" s="62">
        <f t="shared" si="3"/>
        <v>163.38</v>
      </c>
    </row>
    <row r="66" spans="1:7" ht="30" customHeight="1" x14ac:dyDescent="0.25">
      <c r="A66" s="59" t="s">
        <v>159</v>
      </c>
      <c r="B66" s="63" t="s">
        <v>160</v>
      </c>
      <c r="C66" s="60" t="s">
        <v>156</v>
      </c>
      <c r="D66" s="61">
        <v>48</v>
      </c>
      <c r="E66" s="62">
        <v>10.62</v>
      </c>
      <c r="F66" s="62">
        <f>10.62*$G$7</f>
        <v>10.62</v>
      </c>
      <c r="G66" s="62">
        <f t="shared" si="3"/>
        <v>509.76</v>
      </c>
    </row>
    <row r="67" spans="1:7" ht="30" customHeight="1" x14ac:dyDescent="0.25">
      <c r="A67" s="59" t="s">
        <v>161</v>
      </c>
      <c r="B67" s="63" t="s">
        <v>162</v>
      </c>
      <c r="C67" s="60" t="s">
        <v>156</v>
      </c>
      <c r="D67" s="61">
        <v>972</v>
      </c>
      <c r="E67" s="62">
        <v>8.56</v>
      </c>
      <c r="F67" s="62">
        <f>8.56*$G$7</f>
        <v>8.56</v>
      </c>
      <c r="G67" s="62">
        <f t="shared" si="3"/>
        <v>8320.32</v>
      </c>
    </row>
    <row r="68" spans="1:7" ht="30" customHeight="1" x14ac:dyDescent="0.25">
      <c r="A68" s="59" t="s">
        <v>163</v>
      </c>
      <c r="B68" s="63" t="s">
        <v>164</v>
      </c>
      <c r="C68" s="60" t="s">
        <v>156</v>
      </c>
      <c r="D68" s="61">
        <v>1617</v>
      </c>
      <c r="E68" s="62">
        <v>7.41</v>
      </c>
      <c r="F68" s="62">
        <f>7.41*$G$7</f>
        <v>7.41</v>
      </c>
      <c r="G68" s="62">
        <f t="shared" si="3"/>
        <v>11981.97</v>
      </c>
    </row>
    <row r="69" spans="1:7" ht="30" customHeight="1" x14ac:dyDescent="0.25">
      <c r="A69" s="59" t="s">
        <v>165</v>
      </c>
      <c r="B69" s="63" t="s">
        <v>166</v>
      </c>
      <c r="C69" s="60" t="s">
        <v>156</v>
      </c>
      <c r="D69" s="61">
        <v>32</v>
      </c>
      <c r="E69" s="62">
        <v>6.67</v>
      </c>
      <c r="F69" s="62">
        <f>6.67*$G$7</f>
        <v>6.67</v>
      </c>
      <c r="G69" s="62">
        <f t="shared" si="3"/>
        <v>213.44</v>
      </c>
    </row>
    <row r="70" spans="1:7" ht="15" customHeight="1" x14ac:dyDescent="0.25">
      <c r="A70" s="55" t="s">
        <v>167</v>
      </c>
      <c r="B70" s="55" t="s">
        <v>168</v>
      </c>
      <c r="C70" s="55"/>
      <c r="D70" s="56"/>
      <c r="E70" s="57"/>
      <c r="F70" s="57"/>
      <c r="G70" s="57">
        <f>G71</f>
        <v>32174.7552</v>
      </c>
    </row>
    <row r="71" spans="1:7" ht="30" customHeight="1" x14ac:dyDescent="0.25">
      <c r="A71" s="59" t="s">
        <v>169</v>
      </c>
      <c r="B71" s="63" t="s">
        <v>170</v>
      </c>
      <c r="C71" s="60" t="s">
        <v>122</v>
      </c>
      <c r="D71" s="61">
        <v>66.239999999999995</v>
      </c>
      <c r="E71" s="62">
        <v>485.73</v>
      </c>
      <c r="F71" s="62">
        <f>485.73*$G$7</f>
        <v>485.73</v>
      </c>
      <c r="G71" s="62">
        <f>D71*F71</f>
        <v>32174.7552</v>
      </c>
    </row>
    <row r="72" spans="1:7" ht="15" customHeight="1" x14ac:dyDescent="0.25">
      <c r="A72" s="55" t="s">
        <v>171</v>
      </c>
      <c r="B72" s="55" t="s">
        <v>172</v>
      </c>
      <c r="C72" s="55"/>
      <c r="D72" s="56"/>
      <c r="E72" s="57"/>
      <c r="F72" s="57"/>
      <c r="G72" s="57">
        <f>G73</f>
        <v>7756.7221999999992</v>
      </c>
    </row>
    <row r="73" spans="1:7" ht="30" customHeight="1" x14ac:dyDescent="0.25">
      <c r="A73" s="59" t="s">
        <v>173</v>
      </c>
      <c r="B73" s="63" t="s">
        <v>174</v>
      </c>
      <c r="C73" s="60" t="s">
        <v>122</v>
      </c>
      <c r="D73" s="61">
        <v>22.07</v>
      </c>
      <c r="E73" s="62">
        <v>351.46</v>
      </c>
      <c r="F73" s="62">
        <f>351.46*$G$7</f>
        <v>351.46</v>
      </c>
      <c r="G73" s="62">
        <f>D73*F73</f>
        <v>7756.7221999999992</v>
      </c>
    </row>
    <row r="74" spans="1:7" ht="15" customHeight="1" x14ac:dyDescent="0.25">
      <c r="A74" s="55" t="s">
        <v>175</v>
      </c>
      <c r="B74" s="55" t="s">
        <v>176</v>
      </c>
      <c r="C74" s="55"/>
      <c r="D74" s="56"/>
      <c r="E74" s="57"/>
      <c r="F74" s="57"/>
      <c r="G74" s="57">
        <f>G75+G79+G87+G92+G94+G97+G101+G109</f>
        <v>353602.72659999994</v>
      </c>
    </row>
    <row r="75" spans="1:7" ht="15" customHeight="1" x14ac:dyDescent="0.25">
      <c r="A75" s="55" t="s">
        <v>177</v>
      </c>
      <c r="B75" s="55" t="s">
        <v>149</v>
      </c>
      <c r="C75" s="55"/>
      <c r="D75" s="56"/>
      <c r="E75" s="57"/>
      <c r="F75" s="57"/>
      <c r="G75" s="57">
        <f>SUM(G76:G78)</f>
        <v>52740.215100000001</v>
      </c>
    </row>
    <row r="76" spans="1:7" ht="50.1" customHeight="1" x14ac:dyDescent="0.25">
      <c r="A76" s="59" t="s">
        <v>178</v>
      </c>
      <c r="B76" s="63" t="s">
        <v>179</v>
      </c>
      <c r="C76" s="60" t="s">
        <v>53</v>
      </c>
      <c r="D76" s="61">
        <v>228.12</v>
      </c>
      <c r="E76" s="62">
        <v>59.63</v>
      </c>
      <c r="F76" s="62">
        <f>59.63*$G$7</f>
        <v>59.63</v>
      </c>
      <c r="G76" s="62">
        <f>F76*D76</f>
        <v>13602.795600000001</v>
      </c>
    </row>
    <row r="77" spans="1:7" ht="50.1" customHeight="1" x14ac:dyDescent="0.25">
      <c r="A77" s="59" t="s">
        <v>180</v>
      </c>
      <c r="B77" s="63" t="s">
        <v>181</v>
      </c>
      <c r="C77" s="60" t="s">
        <v>53</v>
      </c>
      <c r="D77" s="61">
        <v>446.7</v>
      </c>
      <c r="E77" s="62">
        <v>85.49</v>
      </c>
      <c r="F77" s="62">
        <f>85.49*$G$7</f>
        <v>85.49</v>
      </c>
      <c r="G77" s="62">
        <f>F77*D77</f>
        <v>38188.382999999994</v>
      </c>
    </row>
    <row r="78" spans="1:7" ht="50.1" customHeight="1" x14ac:dyDescent="0.25">
      <c r="A78" s="59" t="s">
        <v>182</v>
      </c>
      <c r="B78" s="63" t="s">
        <v>183</v>
      </c>
      <c r="C78" s="60" t="s">
        <v>53</v>
      </c>
      <c r="D78" s="61">
        <v>32.85</v>
      </c>
      <c r="E78" s="62">
        <v>28.89</v>
      </c>
      <c r="F78" s="62">
        <f>28.89*$G$7</f>
        <v>28.89</v>
      </c>
      <c r="G78" s="62">
        <f>F78*D78</f>
        <v>949.03650000000005</v>
      </c>
    </row>
    <row r="79" spans="1:7" ht="15" customHeight="1" x14ac:dyDescent="0.25">
      <c r="A79" s="55" t="s">
        <v>184</v>
      </c>
      <c r="B79" s="55" t="s">
        <v>185</v>
      </c>
      <c r="C79" s="55"/>
      <c r="D79" s="56"/>
      <c r="E79" s="57"/>
      <c r="F79" s="57"/>
      <c r="G79" s="57">
        <f>SUM(G80:G86)</f>
        <v>58052.03</v>
      </c>
    </row>
    <row r="80" spans="1:7" ht="39.950000000000003" customHeight="1" x14ac:dyDescent="0.25">
      <c r="A80" s="59" t="s">
        <v>186</v>
      </c>
      <c r="B80" s="63" t="s">
        <v>187</v>
      </c>
      <c r="C80" s="60" t="s">
        <v>156</v>
      </c>
      <c r="D80" s="61">
        <v>680</v>
      </c>
      <c r="E80" s="62">
        <v>14.06</v>
      </c>
      <c r="F80" s="62">
        <f>14.06*$G$7</f>
        <v>14.06</v>
      </c>
      <c r="G80" s="62">
        <f t="shared" ref="G80:G86" si="4">D80*F80</f>
        <v>9560.8000000000011</v>
      </c>
    </row>
    <row r="81" spans="1:7" ht="39.950000000000003" customHeight="1" x14ac:dyDescent="0.25">
      <c r="A81" s="59" t="s">
        <v>188</v>
      </c>
      <c r="B81" s="63" t="s">
        <v>189</v>
      </c>
      <c r="C81" s="60" t="s">
        <v>156</v>
      </c>
      <c r="D81" s="61">
        <v>718</v>
      </c>
      <c r="E81" s="62">
        <v>11.68</v>
      </c>
      <c r="F81" s="62">
        <f>11.68*$G$7</f>
        <v>11.68</v>
      </c>
      <c r="G81" s="62">
        <f t="shared" si="4"/>
        <v>8386.24</v>
      </c>
    </row>
    <row r="82" spans="1:7" ht="39.950000000000003" customHeight="1" x14ac:dyDescent="0.25">
      <c r="A82" s="59" t="s">
        <v>190</v>
      </c>
      <c r="B82" s="63" t="s">
        <v>191</v>
      </c>
      <c r="C82" s="60" t="s">
        <v>156</v>
      </c>
      <c r="D82" s="61">
        <v>420</v>
      </c>
      <c r="E82" s="62">
        <v>10.56</v>
      </c>
      <c r="F82" s="62">
        <f>10.56*$G$7</f>
        <v>10.56</v>
      </c>
      <c r="G82" s="62">
        <f t="shared" si="4"/>
        <v>4435.2</v>
      </c>
    </row>
    <row r="83" spans="1:7" ht="39.950000000000003" customHeight="1" x14ac:dyDescent="0.25">
      <c r="A83" s="59" t="s">
        <v>192</v>
      </c>
      <c r="B83" s="63" t="s">
        <v>193</v>
      </c>
      <c r="C83" s="60" t="s">
        <v>156</v>
      </c>
      <c r="D83" s="61">
        <v>2403</v>
      </c>
      <c r="E83" s="62">
        <v>8.43</v>
      </c>
      <c r="F83" s="62">
        <f>8.43*$G$7</f>
        <v>8.43</v>
      </c>
      <c r="G83" s="62">
        <f t="shared" si="4"/>
        <v>20257.29</v>
      </c>
    </row>
    <row r="84" spans="1:7" ht="39.950000000000003" customHeight="1" x14ac:dyDescent="0.25">
      <c r="A84" s="59" t="s">
        <v>194</v>
      </c>
      <c r="B84" s="63" t="s">
        <v>195</v>
      </c>
      <c r="C84" s="60" t="s">
        <v>156</v>
      </c>
      <c r="D84" s="61">
        <v>1596</v>
      </c>
      <c r="E84" s="62">
        <v>7.24</v>
      </c>
      <c r="F84" s="62">
        <f>7.24*$G$7</f>
        <v>7.24</v>
      </c>
      <c r="G84" s="62">
        <f t="shared" si="4"/>
        <v>11555.04</v>
      </c>
    </row>
    <row r="85" spans="1:7" ht="39.950000000000003" customHeight="1" x14ac:dyDescent="0.25">
      <c r="A85" s="59" t="s">
        <v>196</v>
      </c>
      <c r="B85" s="63" t="s">
        <v>197</v>
      </c>
      <c r="C85" s="60" t="s">
        <v>156</v>
      </c>
      <c r="D85" s="61">
        <v>507</v>
      </c>
      <c r="E85" s="62">
        <v>6.43</v>
      </c>
      <c r="F85" s="62">
        <f>6.43*$G$7</f>
        <v>6.43</v>
      </c>
      <c r="G85" s="62">
        <f t="shared" si="4"/>
        <v>3260.0099999999998</v>
      </c>
    </row>
    <row r="86" spans="1:7" ht="39.950000000000003" customHeight="1" x14ac:dyDescent="0.25">
      <c r="A86" s="59" t="s">
        <v>198</v>
      </c>
      <c r="B86" s="63" t="s">
        <v>199</v>
      </c>
      <c r="C86" s="60" t="s">
        <v>156</v>
      </c>
      <c r="D86" s="61">
        <v>105</v>
      </c>
      <c r="E86" s="62">
        <v>5.69</v>
      </c>
      <c r="F86" s="62">
        <f>5.69*$G$7</f>
        <v>5.69</v>
      </c>
      <c r="G86" s="62">
        <f t="shared" si="4"/>
        <v>597.45000000000005</v>
      </c>
    </row>
    <row r="87" spans="1:7" ht="15" customHeight="1" x14ac:dyDescent="0.25">
      <c r="A87" s="55" t="s">
        <v>200</v>
      </c>
      <c r="B87" s="55" t="s">
        <v>201</v>
      </c>
      <c r="C87" s="55"/>
      <c r="D87" s="56"/>
      <c r="E87" s="57"/>
      <c r="F87" s="57"/>
      <c r="G87" s="57">
        <f>SUM(G88:G91)</f>
        <v>28223.88</v>
      </c>
    </row>
    <row r="88" spans="1:7" ht="39.950000000000003" customHeight="1" x14ac:dyDescent="0.25">
      <c r="A88" s="59" t="s">
        <v>202</v>
      </c>
      <c r="B88" s="63" t="s">
        <v>203</v>
      </c>
      <c r="C88" s="60" t="s">
        <v>156</v>
      </c>
      <c r="D88" s="61">
        <v>1713</v>
      </c>
      <c r="E88" s="62">
        <v>11.56</v>
      </c>
      <c r="F88" s="62">
        <f>11.56*$G$7</f>
        <v>11.56</v>
      </c>
      <c r="G88" s="62">
        <f>F88*D88</f>
        <v>19802.280000000002</v>
      </c>
    </row>
    <row r="89" spans="1:7" ht="39.950000000000003" customHeight="1" x14ac:dyDescent="0.25">
      <c r="A89" s="59" t="s">
        <v>204</v>
      </c>
      <c r="B89" s="63" t="s">
        <v>205</v>
      </c>
      <c r="C89" s="60" t="s">
        <v>156</v>
      </c>
      <c r="D89" s="61">
        <v>271</v>
      </c>
      <c r="E89" s="62">
        <v>9.76</v>
      </c>
      <c r="F89" s="62">
        <f>9.76*$G$7</f>
        <v>9.76</v>
      </c>
      <c r="G89" s="62">
        <f>F89*D89</f>
        <v>2644.96</v>
      </c>
    </row>
    <row r="90" spans="1:7" ht="39.950000000000003" customHeight="1" x14ac:dyDescent="0.25">
      <c r="A90" s="59" t="s">
        <v>206</v>
      </c>
      <c r="B90" s="63" t="s">
        <v>207</v>
      </c>
      <c r="C90" s="60" t="s">
        <v>156</v>
      </c>
      <c r="D90" s="61">
        <v>308</v>
      </c>
      <c r="E90" s="62">
        <v>9.1300000000000008</v>
      </c>
      <c r="F90" s="62">
        <f>9.13*$G$7</f>
        <v>9.1300000000000008</v>
      </c>
      <c r="G90" s="62">
        <f>F90*D90</f>
        <v>2812.0400000000004</v>
      </c>
    </row>
    <row r="91" spans="1:7" ht="39.950000000000003" customHeight="1" x14ac:dyDescent="0.25">
      <c r="A91" s="59" t="s">
        <v>208</v>
      </c>
      <c r="B91" s="63" t="s">
        <v>209</v>
      </c>
      <c r="C91" s="60" t="s">
        <v>156</v>
      </c>
      <c r="D91" s="61">
        <v>405</v>
      </c>
      <c r="E91" s="62">
        <v>7.32</v>
      </c>
      <c r="F91" s="62">
        <f>7.32*$G$7</f>
        <v>7.32</v>
      </c>
      <c r="G91" s="62">
        <f>F91*D91</f>
        <v>2964.6</v>
      </c>
    </row>
    <row r="92" spans="1:7" ht="15" customHeight="1" x14ac:dyDescent="0.25">
      <c r="A92" s="55" t="s">
        <v>210</v>
      </c>
      <c r="B92" s="55" t="s">
        <v>211</v>
      </c>
      <c r="C92" s="55"/>
      <c r="D92" s="56"/>
      <c r="E92" s="57"/>
      <c r="F92" s="57"/>
      <c r="G92" s="57">
        <f>SUM(G93)</f>
        <v>7079.1767999999993</v>
      </c>
    </row>
    <row r="93" spans="1:7" ht="30" customHeight="1" x14ac:dyDescent="0.25">
      <c r="A93" s="59" t="s">
        <v>212</v>
      </c>
      <c r="B93" s="63" t="s">
        <v>213</v>
      </c>
      <c r="C93" s="60" t="s">
        <v>53</v>
      </c>
      <c r="D93" s="61">
        <v>839.76</v>
      </c>
      <c r="E93" s="62">
        <v>8.43</v>
      </c>
      <c r="F93" s="62">
        <f>8.43*$G$7</f>
        <v>8.43</v>
      </c>
      <c r="G93" s="62">
        <f>D93*F93</f>
        <v>7079.1767999999993</v>
      </c>
    </row>
    <row r="94" spans="1:7" ht="15" customHeight="1" x14ac:dyDescent="0.25">
      <c r="A94" s="55" t="s">
        <v>214</v>
      </c>
      <c r="B94" s="55" t="s">
        <v>168</v>
      </c>
      <c r="C94" s="55"/>
      <c r="D94" s="56"/>
      <c r="E94" s="57"/>
      <c r="F94" s="57"/>
      <c r="G94" s="57">
        <f>SUM(G95:G96)</f>
        <v>78230.36970000001</v>
      </c>
    </row>
    <row r="95" spans="1:7" ht="39.950000000000003" customHeight="1" x14ac:dyDescent="0.25">
      <c r="A95" s="59" t="s">
        <v>215</v>
      </c>
      <c r="B95" s="63" t="s">
        <v>216</v>
      </c>
      <c r="C95" s="60" t="s">
        <v>217</v>
      </c>
      <c r="D95" s="61">
        <v>11.81</v>
      </c>
      <c r="E95" s="62">
        <v>467.82</v>
      </c>
      <c r="F95" s="62">
        <f>467.82*$G$7</f>
        <v>467.82</v>
      </c>
      <c r="G95" s="62">
        <f>D95*F95</f>
        <v>5524.9542000000001</v>
      </c>
    </row>
    <row r="96" spans="1:7" ht="39.950000000000003" customHeight="1" x14ac:dyDescent="0.25">
      <c r="A96" s="59" t="s">
        <v>218</v>
      </c>
      <c r="B96" s="63" t="s">
        <v>219</v>
      </c>
      <c r="C96" s="60" t="s">
        <v>122</v>
      </c>
      <c r="D96" s="61">
        <v>155.97</v>
      </c>
      <c r="E96" s="62">
        <v>466.15</v>
      </c>
      <c r="F96" s="62">
        <f>466.15*$G$7</f>
        <v>466.15</v>
      </c>
      <c r="G96" s="62">
        <f>D96*F96</f>
        <v>72705.415500000003</v>
      </c>
    </row>
    <row r="97" spans="1:7" ht="15" customHeight="1" x14ac:dyDescent="0.25">
      <c r="A97" s="55" t="s">
        <v>220</v>
      </c>
      <c r="B97" s="55" t="s">
        <v>221</v>
      </c>
      <c r="C97" s="55"/>
      <c r="D97" s="56"/>
      <c r="E97" s="57"/>
      <c r="F97" s="57"/>
      <c r="G97" s="57">
        <f>SUM(G98:G100)</f>
        <v>86385.418999999994</v>
      </c>
    </row>
    <row r="98" spans="1:7" ht="30" customHeight="1" x14ac:dyDescent="0.25">
      <c r="A98" s="59" t="s">
        <v>222</v>
      </c>
      <c r="B98" s="63" t="s">
        <v>223</v>
      </c>
      <c r="C98" s="60" t="s">
        <v>53</v>
      </c>
      <c r="D98" s="61">
        <v>12.8</v>
      </c>
      <c r="E98" s="62">
        <v>65.709999999999994</v>
      </c>
      <c r="F98" s="62">
        <f>65.71*$G$7</f>
        <v>65.709999999999994</v>
      </c>
      <c r="G98" s="62">
        <f>D98*F98</f>
        <v>841.08799999999997</v>
      </c>
    </row>
    <row r="99" spans="1:7" ht="30" customHeight="1" x14ac:dyDescent="0.25">
      <c r="A99" s="59" t="s">
        <v>224</v>
      </c>
      <c r="B99" s="63" t="s">
        <v>225</v>
      </c>
      <c r="C99" s="60" t="s">
        <v>53</v>
      </c>
      <c r="D99" s="61">
        <v>686.9</v>
      </c>
      <c r="E99" s="62">
        <v>109.87</v>
      </c>
      <c r="F99" s="62">
        <f>109.87*$G$7</f>
        <v>109.87</v>
      </c>
      <c r="G99" s="62">
        <f>D99*F99</f>
        <v>75469.702999999994</v>
      </c>
    </row>
    <row r="100" spans="1:7" ht="30" customHeight="1" x14ac:dyDescent="0.25">
      <c r="A100" s="59" t="s">
        <v>226</v>
      </c>
      <c r="B100" s="63" t="s">
        <v>227</v>
      </c>
      <c r="C100" s="60" t="s">
        <v>53</v>
      </c>
      <c r="D100" s="61">
        <v>71.900000000000006</v>
      </c>
      <c r="E100" s="62">
        <v>140.12</v>
      </c>
      <c r="F100" s="62">
        <f>140.12*$G$7</f>
        <v>140.12</v>
      </c>
      <c r="G100" s="62">
        <f>D100*F100</f>
        <v>10074.628000000001</v>
      </c>
    </row>
    <row r="101" spans="1:7" ht="15" customHeight="1" x14ac:dyDescent="0.25">
      <c r="A101" s="55" t="s">
        <v>228</v>
      </c>
      <c r="B101" s="55" t="s">
        <v>229</v>
      </c>
      <c r="C101" s="55"/>
      <c r="D101" s="56"/>
      <c r="E101" s="57"/>
      <c r="F101" s="57"/>
      <c r="G101" s="57">
        <f>SUM(G102:G108)</f>
        <v>37292.05799999999</v>
      </c>
    </row>
    <row r="102" spans="1:7" ht="30" customHeight="1" x14ac:dyDescent="0.25">
      <c r="A102" s="59" t="s">
        <v>230</v>
      </c>
      <c r="B102" s="63" t="s">
        <v>231</v>
      </c>
      <c r="C102" s="60" t="s">
        <v>232</v>
      </c>
      <c r="D102" s="61">
        <v>156</v>
      </c>
      <c r="E102" s="62">
        <v>56</v>
      </c>
      <c r="F102" s="62">
        <f>56*$G$7</f>
        <v>56</v>
      </c>
      <c r="G102" s="62">
        <f t="shared" ref="G102:G108" si="5">D102*F102</f>
        <v>8736</v>
      </c>
    </row>
    <row r="103" spans="1:7" ht="30" customHeight="1" x14ac:dyDescent="0.25">
      <c r="A103" s="59" t="s">
        <v>233</v>
      </c>
      <c r="B103" s="63" t="s">
        <v>234</v>
      </c>
      <c r="C103" s="60" t="s">
        <v>235</v>
      </c>
      <c r="D103" s="61">
        <v>412</v>
      </c>
      <c r="E103" s="62">
        <v>22.66</v>
      </c>
      <c r="F103" s="62">
        <f>22.66*$G$7</f>
        <v>22.66</v>
      </c>
      <c r="G103" s="62">
        <f t="shared" si="5"/>
        <v>9335.92</v>
      </c>
    </row>
    <row r="104" spans="1:7" ht="35.1" customHeight="1" x14ac:dyDescent="0.25">
      <c r="A104" s="59" t="s">
        <v>236</v>
      </c>
      <c r="B104" s="63" t="s">
        <v>237</v>
      </c>
      <c r="C104" s="60" t="s">
        <v>156</v>
      </c>
      <c r="D104" s="61">
        <v>397.2</v>
      </c>
      <c r="E104" s="62">
        <v>12.57</v>
      </c>
      <c r="F104" s="62">
        <f>12.57*$G$7</f>
        <v>12.57</v>
      </c>
      <c r="G104" s="62">
        <f t="shared" si="5"/>
        <v>4992.8040000000001</v>
      </c>
    </row>
    <row r="105" spans="1:7" ht="35.1" customHeight="1" x14ac:dyDescent="0.25">
      <c r="A105" s="59" t="s">
        <v>238</v>
      </c>
      <c r="B105" s="63" t="s">
        <v>239</v>
      </c>
      <c r="C105" s="60" t="s">
        <v>156</v>
      </c>
      <c r="D105" s="61">
        <v>164.3</v>
      </c>
      <c r="E105" s="62">
        <v>9.6999999999999993</v>
      </c>
      <c r="F105" s="62">
        <f>9.7*$G$7</f>
        <v>9.6999999999999993</v>
      </c>
      <c r="G105" s="62">
        <f t="shared" si="5"/>
        <v>1593.71</v>
      </c>
    </row>
    <row r="106" spans="1:7" ht="35.1" customHeight="1" x14ac:dyDescent="0.25">
      <c r="A106" s="59" t="s">
        <v>240</v>
      </c>
      <c r="B106" s="63" t="s">
        <v>241</v>
      </c>
      <c r="C106" s="60" t="s">
        <v>156</v>
      </c>
      <c r="D106" s="61">
        <v>1221.8</v>
      </c>
      <c r="E106" s="62">
        <v>7.8</v>
      </c>
      <c r="F106" s="62">
        <f>7.8*$G$7</f>
        <v>7.8</v>
      </c>
      <c r="G106" s="62">
        <f t="shared" si="5"/>
        <v>9530.0399999999991</v>
      </c>
    </row>
    <row r="107" spans="1:7" ht="30" customHeight="1" x14ac:dyDescent="0.25">
      <c r="A107" s="59" t="s">
        <v>242</v>
      </c>
      <c r="B107" s="63" t="s">
        <v>243</v>
      </c>
      <c r="C107" s="60" t="s">
        <v>122</v>
      </c>
      <c r="D107" s="61">
        <v>6.6</v>
      </c>
      <c r="E107" s="62">
        <v>343.25</v>
      </c>
      <c r="F107" s="62">
        <f>343.25*$G$7</f>
        <v>343.25</v>
      </c>
      <c r="G107" s="62">
        <f t="shared" si="5"/>
        <v>2265.4499999999998</v>
      </c>
    </row>
    <row r="108" spans="1:7" ht="30" customHeight="1" x14ac:dyDescent="0.25">
      <c r="A108" s="59" t="s">
        <v>244</v>
      </c>
      <c r="B108" s="63" t="s">
        <v>245</v>
      </c>
      <c r="C108" s="60" t="s">
        <v>122</v>
      </c>
      <c r="D108" s="61">
        <v>6.6</v>
      </c>
      <c r="E108" s="62">
        <v>126.99</v>
      </c>
      <c r="F108" s="62">
        <f>126.99*$G$7</f>
        <v>126.99</v>
      </c>
      <c r="G108" s="62">
        <f t="shared" si="5"/>
        <v>838.1339999999999</v>
      </c>
    </row>
    <row r="109" spans="1:7" ht="15" customHeight="1" x14ac:dyDescent="0.25">
      <c r="A109" s="55" t="s">
        <v>246</v>
      </c>
      <c r="B109" s="55" t="s">
        <v>247</v>
      </c>
      <c r="C109" s="55"/>
      <c r="D109" s="56"/>
      <c r="E109" s="57"/>
      <c r="F109" s="57"/>
      <c r="G109" s="57">
        <f>SUM(G110:G114)</f>
        <v>5599.5779999999995</v>
      </c>
    </row>
    <row r="110" spans="1:7" ht="30" customHeight="1" x14ac:dyDescent="0.25">
      <c r="A110" s="59" t="s">
        <v>248</v>
      </c>
      <c r="B110" s="63" t="s">
        <v>249</v>
      </c>
      <c r="C110" s="60" t="s">
        <v>122</v>
      </c>
      <c r="D110" s="61">
        <v>18</v>
      </c>
      <c r="E110" s="62">
        <v>6.03</v>
      </c>
      <c r="F110" s="62">
        <f>6.03*$G$7</f>
        <v>6.03</v>
      </c>
      <c r="G110" s="62">
        <f>D110*F110</f>
        <v>108.54</v>
      </c>
    </row>
    <row r="111" spans="1:7" ht="30" customHeight="1" x14ac:dyDescent="0.25">
      <c r="A111" s="59" t="s">
        <v>250</v>
      </c>
      <c r="B111" s="63" t="s">
        <v>141</v>
      </c>
      <c r="C111" s="60" t="s">
        <v>53</v>
      </c>
      <c r="D111" s="61">
        <v>18</v>
      </c>
      <c r="E111" s="62">
        <v>26.1</v>
      </c>
      <c r="F111" s="62">
        <f>26.1*$G$7</f>
        <v>26.1</v>
      </c>
      <c r="G111" s="62">
        <f>D111*F111</f>
        <v>469.8</v>
      </c>
    </row>
    <row r="112" spans="1:7" ht="30" customHeight="1" x14ac:dyDescent="0.25">
      <c r="A112" s="59" t="s">
        <v>251</v>
      </c>
      <c r="B112" s="63" t="s">
        <v>252</v>
      </c>
      <c r="C112" s="60" t="s">
        <v>53</v>
      </c>
      <c r="D112" s="61">
        <v>5.6</v>
      </c>
      <c r="E112" s="62">
        <v>68.19</v>
      </c>
      <c r="F112" s="62">
        <f>68.19*$G$7</f>
        <v>68.19</v>
      </c>
      <c r="G112" s="62">
        <f>D112*F112</f>
        <v>381.86399999999998</v>
      </c>
    </row>
    <row r="113" spans="1:7" ht="35.1" customHeight="1" x14ac:dyDescent="0.25">
      <c r="A113" s="59" t="s">
        <v>253</v>
      </c>
      <c r="B113" s="63" t="s">
        <v>239</v>
      </c>
      <c r="C113" s="60" t="s">
        <v>156</v>
      </c>
      <c r="D113" s="61">
        <v>288</v>
      </c>
      <c r="E113" s="62">
        <v>9.6999999999999993</v>
      </c>
      <c r="F113" s="62">
        <f>9.7*$G$7</f>
        <v>9.6999999999999993</v>
      </c>
      <c r="G113" s="62">
        <f>D113*F113</f>
        <v>2793.6</v>
      </c>
    </row>
    <row r="114" spans="1:7" ht="30" customHeight="1" x14ac:dyDescent="0.25">
      <c r="A114" s="59" t="s">
        <v>254</v>
      </c>
      <c r="B114" s="63" t="s">
        <v>255</v>
      </c>
      <c r="C114" s="60" t="s">
        <v>122</v>
      </c>
      <c r="D114" s="61">
        <v>3.8</v>
      </c>
      <c r="E114" s="62">
        <v>485.73</v>
      </c>
      <c r="F114" s="62">
        <f>485.73*$G$7</f>
        <v>485.73</v>
      </c>
      <c r="G114" s="62">
        <f>D114*F114</f>
        <v>1845.7739999999999</v>
      </c>
    </row>
    <row r="115" spans="1:7" ht="15" customHeight="1" x14ac:dyDescent="0.25">
      <c r="A115" s="55" t="s">
        <v>256</v>
      </c>
      <c r="B115" s="55" t="s">
        <v>257</v>
      </c>
      <c r="C115" s="55"/>
      <c r="D115" s="56"/>
      <c r="E115" s="57"/>
      <c r="F115" s="57"/>
      <c r="G115" s="57">
        <f>G116+G134+G139</f>
        <v>180557.44500000004</v>
      </c>
    </row>
    <row r="116" spans="1:7" ht="15" customHeight="1" x14ac:dyDescent="0.25">
      <c r="A116" s="55" t="s">
        <v>258</v>
      </c>
      <c r="B116" s="55" t="s">
        <v>259</v>
      </c>
      <c r="C116" s="55"/>
      <c r="D116" s="56"/>
      <c r="E116" s="57"/>
      <c r="F116" s="57"/>
      <c r="G116" s="57">
        <f>SUM(G117:G133)</f>
        <v>145426.61540000004</v>
      </c>
    </row>
    <row r="117" spans="1:7" ht="50.1" customHeight="1" x14ac:dyDescent="0.25">
      <c r="A117" s="59" t="s">
        <v>260</v>
      </c>
      <c r="B117" s="59" t="s">
        <v>261</v>
      </c>
      <c r="C117" s="60" t="s">
        <v>53</v>
      </c>
      <c r="D117" s="61">
        <v>75.88</v>
      </c>
      <c r="E117" s="62">
        <v>79.23</v>
      </c>
      <c r="F117" s="62">
        <f>79.23*$G$7</f>
        <v>79.23</v>
      </c>
      <c r="G117" s="62">
        <f t="shared" ref="G117:G133" si="6">D117*F117</f>
        <v>6011.9723999999997</v>
      </c>
    </row>
    <row r="118" spans="1:7" ht="50.1" customHeight="1" x14ac:dyDescent="0.25">
      <c r="A118" s="59" t="s">
        <v>262</v>
      </c>
      <c r="B118" s="59" t="s">
        <v>263</v>
      </c>
      <c r="C118" s="60" t="s">
        <v>53</v>
      </c>
      <c r="D118" s="61">
        <v>629.79999999999995</v>
      </c>
      <c r="E118" s="62">
        <v>67.03</v>
      </c>
      <c r="F118" s="62">
        <f>67.03*$G$7</f>
        <v>67.03</v>
      </c>
      <c r="G118" s="62">
        <f t="shared" si="6"/>
        <v>42215.493999999999</v>
      </c>
    </row>
    <row r="119" spans="1:7" ht="50.1" customHeight="1" x14ac:dyDescent="0.25">
      <c r="A119" s="59" t="s">
        <v>264</v>
      </c>
      <c r="B119" s="59" t="s">
        <v>265</v>
      </c>
      <c r="C119" s="60" t="s">
        <v>53</v>
      </c>
      <c r="D119" s="61">
        <v>76.16</v>
      </c>
      <c r="E119" s="62">
        <v>90.23</v>
      </c>
      <c r="F119" s="62">
        <f>90.23*$G$7</f>
        <v>90.23</v>
      </c>
      <c r="G119" s="62">
        <f t="shared" si="6"/>
        <v>6871.9168</v>
      </c>
    </row>
    <row r="120" spans="1:7" ht="50.1" customHeight="1" x14ac:dyDescent="0.25">
      <c r="A120" s="59" t="s">
        <v>266</v>
      </c>
      <c r="B120" s="59" t="s">
        <v>267</v>
      </c>
      <c r="C120" s="60" t="s">
        <v>53</v>
      </c>
      <c r="D120" s="61">
        <v>270.33</v>
      </c>
      <c r="E120" s="62">
        <v>73.739999999999995</v>
      </c>
      <c r="F120" s="62">
        <f>73.74*$G$7</f>
        <v>73.739999999999995</v>
      </c>
      <c r="G120" s="62">
        <f t="shared" si="6"/>
        <v>19934.134199999997</v>
      </c>
    </row>
    <row r="121" spans="1:7" ht="50.1" customHeight="1" x14ac:dyDescent="0.25">
      <c r="A121" s="59" t="s">
        <v>268</v>
      </c>
      <c r="B121" s="59" t="s">
        <v>269</v>
      </c>
      <c r="C121" s="60" t="s">
        <v>53</v>
      </c>
      <c r="D121" s="61">
        <v>598.14</v>
      </c>
      <c r="E121" s="62">
        <v>76.22</v>
      </c>
      <c r="F121" s="62">
        <f>76.22*$G$7</f>
        <v>76.22</v>
      </c>
      <c r="G121" s="62">
        <f t="shared" si="6"/>
        <v>45590.230799999998</v>
      </c>
    </row>
    <row r="122" spans="1:7" ht="50.1" customHeight="1" x14ac:dyDescent="0.25">
      <c r="A122" s="59" t="s">
        <v>270</v>
      </c>
      <c r="B122" s="59" t="s">
        <v>271</v>
      </c>
      <c r="C122" s="60" t="s">
        <v>53</v>
      </c>
      <c r="D122" s="61">
        <v>8.4</v>
      </c>
      <c r="E122" s="62">
        <v>80.739999999999995</v>
      </c>
      <c r="F122" s="62">
        <f>80.74*$G$7</f>
        <v>80.739999999999995</v>
      </c>
      <c r="G122" s="62">
        <f t="shared" si="6"/>
        <v>678.21600000000001</v>
      </c>
    </row>
    <row r="123" spans="1:7" ht="30" customHeight="1" x14ac:dyDescent="0.25">
      <c r="A123" s="59" t="s">
        <v>272</v>
      </c>
      <c r="B123" s="59" t="s">
        <v>273</v>
      </c>
      <c r="C123" s="60" t="s">
        <v>232</v>
      </c>
      <c r="D123" s="61">
        <v>301.7</v>
      </c>
      <c r="E123" s="62">
        <v>6.28</v>
      </c>
      <c r="F123" s="62">
        <f>6.28*$G$7</f>
        <v>6.28</v>
      </c>
      <c r="G123" s="62">
        <f t="shared" si="6"/>
        <v>1894.6759999999999</v>
      </c>
    </row>
    <row r="124" spans="1:7" ht="30" customHeight="1" x14ac:dyDescent="0.25">
      <c r="A124" s="59" t="s">
        <v>274</v>
      </c>
      <c r="B124" s="63" t="s">
        <v>275</v>
      </c>
      <c r="C124" s="60" t="s">
        <v>232</v>
      </c>
      <c r="D124" s="61">
        <v>34.200000000000003</v>
      </c>
      <c r="E124" s="62">
        <v>33.700000000000003</v>
      </c>
      <c r="F124" s="62">
        <f>33.7*$G$7</f>
        <v>33.700000000000003</v>
      </c>
      <c r="G124" s="62">
        <f t="shared" si="6"/>
        <v>1152.5400000000002</v>
      </c>
    </row>
    <row r="125" spans="1:7" ht="30" customHeight="1" x14ac:dyDescent="0.25">
      <c r="A125" s="59" t="s">
        <v>276</v>
      </c>
      <c r="B125" s="63" t="s">
        <v>277</v>
      </c>
      <c r="C125" s="60" t="s">
        <v>232</v>
      </c>
      <c r="D125" s="61">
        <v>64.599999999999994</v>
      </c>
      <c r="E125" s="62">
        <v>42.36</v>
      </c>
      <c r="F125" s="62">
        <f>42.36*$G$7</f>
        <v>42.36</v>
      </c>
      <c r="G125" s="62">
        <f t="shared" si="6"/>
        <v>2736.4559999999997</v>
      </c>
    </row>
    <row r="126" spans="1:7" ht="30" customHeight="1" x14ac:dyDescent="0.25">
      <c r="A126" s="59" t="s">
        <v>278</v>
      </c>
      <c r="B126" s="63" t="s">
        <v>279</v>
      </c>
      <c r="C126" s="60" t="s">
        <v>232</v>
      </c>
      <c r="D126" s="61">
        <v>28.2</v>
      </c>
      <c r="E126" s="62">
        <v>25.84</v>
      </c>
      <c r="F126" s="62">
        <f>25.84*$G$7</f>
        <v>25.84</v>
      </c>
      <c r="G126" s="62">
        <f t="shared" si="6"/>
        <v>728.68799999999999</v>
      </c>
    </row>
    <row r="127" spans="1:7" ht="30" customHeight="1" x14ac:dyDescent="0.25">
      <c r="A127" s="59" t="s">
        <v>280</v>
      </c>
      <c r="B127" s="63" t="s">
        <v>281</v>
      </c>
      <c r="C127" s="60" t="s">
        <v>232</v>
      </c>
      <c r="D127" s="61">
        <v>4</v>
      </c>
      <c r="E127" s="62">
        <v>41.63</v>
      </c>
      <c r="F127" s="62">
        <f>41.63*$G$7</f>
        <v>41.63</v>
      </c>
      <c r="G127" s="62">
        <f t="shared" si="6"/>
        <v>166.52</v>
      </c>
    </row>
    <row r="128" spans="1:7" ht="30" customHeight="1" x14ac:dyDescent="0.25">
      <c r="A128" s="59" t="s">
        <v>282</v>
      </c>
      <c r="B128" s="63" t="s">
        <v>283</v>
      </c>
      <c r="C128" s="60" t="s">
        <v>232</v>
      </c>
      <c r="D128" s="61">
        <v>34.200000000000003</v>
      </c>
      <c r="E128" s="62">
        <v>33.07</v>
      </c>
      <c r="F128" s="62">
        <f>33.07*$G$7</f>
        <v>33.07</v>
      </c>
      <c r="G128" s="62">
        <f t="shared" si="6"/>
        <v>1130.9940000000001</v>
      </c>
    </row>
    <row r="129" spans="1:7" ht="30" customHeight="1" x14ac:dyDescent="0.25">
      <c r="A129" s="59" t="s">
        <v>284</v>
      </c>
      <c r="B129" s="63" t="s">
        <v>285</v>
      </c>
      <c r="C129" s="60" t="s">
        <v>232</v>
      </c>
      <c r="D129" s="61">
        <v>64.599999999999994</v>
      </c>
      <c r="E129" s="62">
        <v>39.92</v>
      </c>
      <c r="F129" s="62">
        <f>39.92*$G$7</f>
        <v>39.92</v>
      </c>
      <c r="G129" s="62">
        <f t="shared" si="6"/>
        <v>2578.8319999999999</v>
      </c>
    </row>
    <row r="130" spans="1:7" ht="30" customHeight="1" x14ac:dyDescent="0.25">
      <c r="A130" s="59" t="s">
        <v>286</v>
      </c>
      <c r="B130" s="63" t="s">
        <v>287</v>
      </c>
      <c r="C130" s="60" t="s">
        <v>53</v>
      </c>
      <c r="D130" s="61">
        <v>6.16</v>
      </c>
      <c r="E130" s="62">
        <v>127.77</v>
      </c>
      <c r="F130" s="62">
        <f>127.77*$G$7</f>
        <v>127.77</v>
      </c>
      <c r="G130" s="62">
        <f t="shared" si="6"/>
        <v>787.06319999999994</v>
      </c>
    </row>
    <row r="131" spans="1:7" ht="30" customHeight="1" x14ac:dyDescent="0.25">
      <c r="A131" s="59" t="s">
        <v>288</v>
      </c>
      <c r="B131" s="63" t="s">
        <v>289</v>
      </c>
      <c r="C131" s="60" t="s">
        <v>53</v>
      </c>
      <c r="D131" s="61">
        <v>7.68</v>
      </c>
      <c r="E131" s="62">
        <v>194.5</v>
      </c>
      <c r="F131" s="62">
        <f>194.5*$G$7</f>
        <v>194.5</v>
      </c>
      <c r="G131" s="62">
        <f t="shared" si="6"/>
        <v>1493.76</v>
      </c>
    </row>
    <row r="132" spans="1:7" ht="30" customHeight="1" x14ac:dyDescent="0.25">
      <c r="A132" s="59" t="s">
        <v>290</v>
      </c>
      <c r="B132" s="63" t="s">
        <v>291</v>
      </c>
      <c r="C132" s="60" t="s">
        <v>53</v>
      </c>
      <c r="D132" s="61">
        <v>70</v>
      </c>
      <c r="E132" s="62">
        <v>36.03</v>
      </c>
      <c r="F132" s="62">
        <f>36.03*$G$7</f>
        <v>36.03</v>
      </c>
      <c r="G132" s="62">
        <f t="shared" si="6"/>
        <v>2522.1</v>
      </c>
    </row>
    <row r="133" spans="1:7" ht="30" customHeight="1" x14ac:dyDescent="0.25">
      <c r="A133" s="59" t="s">
        <v>292</v>
      </c>
      <c r="B133" s="63" t="s">
        <v>293</v>
      </c>
      <c r="C133" s="60" t="s">
        <v>232</v>
      </c>
      <c r="D133" s="61">
        <v>195.3</v>
      </c>
      <c r="E133" s="62">
        <v>45.74</v>
      </c>
      <c r="F133" s="62">
        <f>45.74*$G$7</f>
        <v>45.74</v>
      </c>
      <c r="G133" s="62">
        <f t="shared" si="6"/>
        <v>8933.0220000000008</v>
      </c>
    </row>
    <row r="134" spans="1:7" ht="15" customHeight="1" x14ac:dyDescent="0.25">
      <c r="A134" s="55" t="s">
        <v>294</v>
      </c>
      <c r="B134" s="55" t="s">
        <v>295</v>
      </c>
      <c r="C134" s="55"/>
      <c r="D134" s="56"/>
      <c r="E134" s="57"/>
      <c r="F134" s="57"/>
      <c r="G134" s="57">
        <f>SUM(G135:G138)</f>
        <v>32969.645199999999</v>
      </c>
    </row>
    <row r="135" spans="1:7" ht="39.950000000000003" customHeight="1" x14ac:dyDescent="0.25">
      <c r="A135" s="59" t="s">
        <v>296</v>
      </c>
      <c r="B135" s="63" t="s">
        <v>297</v>
      </c>
      <c r="C135" s="60" t="s">
        <v>53</v>
      </c>
      <c r="D135" s="61">
        <v>178.58</v>
      </c>
      <c r="E135" s="62">
        <v>75.010000000000005</v>
      </c>
      <c r="F135" s="62">
        <f>75.01*$G$7</f>
        <v>75.010000000000005</v>
      </c>
      <c r="G135" s="62">
        <f>D135*F135</f>
        <v>13395.285800000001</v>
      </c>
    </row>
    <row r="136" spans="1:7" ht="39.950000000000003" customHeight="1" x14ac:dyDescent="0.25">
      <c r="A136" s="59" t="s">
        <v>298</v>
      </c>
      <c r="B136" s="63" t="s">
        <v>299</v>
      </c>
      <c r="C136" s="60" t="s">
        <v>53</v>
      </c>
      <c r="D136" s="61">
        <v>201.3</v>
      </c>
      <c r="E136" s="62">
        <v>65.900000000000006</v>
      </c>
      <c r="F136" s="62">
        <f>65.9*$G$7</f>
        <v>65.900000000000006</v>
      </c>
      <c r="G136" s="62">
        <f>D136*F136</f>
        <v>13265.670000000002</v>
      </c>
    </row>
    <row r="137" spans="1:7" s="67" customFormat="1" ht="39.950000000000003" customHeight="1" x14ac:dyDescent="0.25">
      <c r="A137" s="63" t="s">
        <v>300</v>
      </c>
      <c r="B137" s="63" t="s">
        <v>301</v>
      </c>
      <c r="C137" s="64" t="s">
        <v>53</v>
      </c>
      <c r="D137" s="65">
        <v>14.33</v>
      </c>
      <c r="E137" s="66">
        <v>385.28</v>
      </c>
      <c r="F137" s="66">
        <f>385.28*$G$7</f>
        <v>385.28</v>
      </c>
      <c r="G137" s="66">
        <f>D137*F137</f>
        <v>5521.0623999999998</v>
      </c>
    </row>
    <row r="138" spans="1:7" ht="39.950000000000003" customHeight="1" x14ac:dyDescent="0.25">
      <c r="A138" s="59" t="s">
        <v>302</v>
      </c>
      <c r="B138" s="63" t="s">
        <v>303</v>
      </c>
      <c r="C138" s="60" t="s">
        <v>53</v>
      </c>
      <c r="D138" s="61">
        <v>2.14</v>
      </c>
      <c r="E138" s="62">
        <v>368.05</v>
      </c>
      <c r="F138" s="62">
        <f>368.05*$G$7</f>
        <v>368.05</v>
      </c>
      <c r="G138" s="62">
        <f>D138*F138</f>
        <v>787.62700000000007</v>
      </c>
    </row>
    <row r="139" spans="1:7" ht="15" customHeight="1" x14ac:dyDescent="0.25">
      <c r="A139" s="55" t="s">
        <v>304</v>
      </c>
      <c r="B139" s="55" t="s">
        <v>305</v>
      </c>
      <c r="C139" s="55"/>
      <c r="D139" s="56"/>
      <c r="E139" s="57"/>
      <c r="F139" s="57"/>
      <c r="G139" s="57">
        <f>SUM(G140:G148)</f>
        <v>2161.1844000000001</v>
      </c>
    </row>
    <row r="140" spans="1:7" ht="45" customHeight="1" x14ac:dyDescent="0.25">
      <c r="A140" s="59" t="s">
        <v>306</v>
      </c>
      <c r="B140" s="63" t="s">
        <v>261</v>
      </c>
      <c r="C140" s="60" t="s">
        <v>53</v>
      </c>
      <c r="D140" s="61">
        <v>4.5199999999999996</v>
      </c>
      <c r="E140" s="62">
        <v>79.23</v>
      </c>
      <c r="F140" s="62">
        <f>79.23*$G$7</f>
        <v>79.23</v>
      </c>
      <c r="G140" s="62">
        <f t="shared" ref="G140:G148" si="7">D140*F140</f>
        <v>358.11959999999999</v>
      </c>
    </row>
    <row r="141" spans="1:7" ht="45" customHeight="1" x14ac:dyDescent="0.25">
      <c r="A141" s="59" t="s">
        <v>307</v>
      </c>
      <c r="B141" s="63" t="s">
        <v>308</v>
      </c>
      <c r="C141" s="60" t="s">
        <v>53</v>
      </c>
      <c r="D141" s="61">
        <v>10</v>
      </c>
      <c r="E141" s="62">
        <v>3.77</v>
      </c>
      <c r="F141" s="62">
        <f>3.77*$G$7</f>
        <v>3.77</v>
      </c>
      <c r="G141" s="62">
        <f t="shared" si="7"/>
        <v>37.700000000000003</v>
      </c>
    </row>
    <row r="142" spans="1:7" ht="45" customHeight="1" x14ac:dyDescent="0.25">
      <c r="A142" s="59" t="s">
        <v>309</v>
      </c>
      <c r="B142" s="63" t="s">
        <v>310</v>
      </c>
      <c r="C142" s="60" t="s">
        <v>53</v>
      </c>
      <c r="D142" s="61">
        <v>10</v>
      </c>
      <c r="E142" s="62">
        <v>35.78</v>
      </c>
      <c r="F142" s="62">
        <f>35.78*$G$7</f>
        <v>35.78</v>
      </c>
      <c r="G142" s="62">
        <f t="shared" si="7"/>
        <v>357.8</v>
      </c>
    </row>
    <row r="143" spans="1:7" ht="45" customHeight="1" x14ac:dyDescent="0.25">
      <c r="A143" s="59" t="s">
        <v>311</v>
      </c>
      <c r="B143" s="63" t="s">
        <v>312</v>
      </c>
      <c r="C143" s="60" t="s">
        <v>53</v>
      </c>
      <c r="D143" s="61">
        <v>5.13</v>
      </c>
      <c r="E143" s="62">
        <v>86.85</v>
      </c>
      <c r="F143" s="62">
        <f>86.85*$G$7</f>
        <v>86.85</v>
      </c>
      <c r="G143" s="62">
        <f t="shared" si="7"/>
        <v>445.54049999999995</v>
      </c>
    </row>
    <row r="144" spans="1:7" ht="45" customHeight="1" x14ac:dyDescent="0.25">
      <c r="A144" s="59" t="s">
        <v>313</v>
      </c>
      <c r="B144" s="63" t="s">
        <v>314</v>
      </c>
      <c r="C144" s="60" t="s">
        <v>53</v>
      </c>
      <c r="D144" s="61">
        <v>4.87</v>
      </c>
      <c r="E144" s="62">
        <v>2.54</v>
      </c>
      <c r="F144" s="62">
        <f>2.54*$G$7</f>
        <v>2.54</v>
      </c>
      <c r="G144" s="62">
        <f t="shared" si="7"/>
        <v>12.3698</v>
      </c>
    </row>
    <row r="145" spans="1:9" ht="45" customHeight="1" x14ac:dyDescent="0.25">
      <c r="A145" s="59" t="s">
        <v>315</v>
      </c>
      <c r="B145" s="63" t="s">
        <v>316</v>
      </c>
      <c r="C145" s="60" t="s">
        <v>53</v>
      </c>
      <c r="D145" s="61">
        <v>4.87</v>
      </c>
      <c r="E145" s="62">
        <v>13.33</v>
      </c>
      <c r="F145" s="62">
        <f>13.33*$G$7</f>
        <v>13.33</v>
      </c>
      <c r="G145" s="62">
        <f t="shared" si="7"/>
        <v>64.917100000000005</v>
      </c>
    </row>
    <row r="146" spans="1:9" ht="45" customHeight="1" x14ac:dyDescent="0.25">
      <c r="A146" s="59" t="s">
        <v>317</v>
      </c>
      <c r="B146" s="63" t="s">
        <v>318</v>
      </c>
      <c r="C146" s="60" t="s">
        <v>53</v>
      </c>
      <c r="D146" s="61">
        <v>4.87</v>
      </c>
      <c r="E146" s="62">
        <v>12.15</v>
      </c>
      <c r="F146" s="62">
        <f>12.15*$G$7</f>
        <v>12.15</v>
      </c>
      <c r="G146" s="62">
        <f t="shared" si="7"/>
        <v>59.170500000000004</v>
      </c>
    </row>
    <row r="147" spans="1:9" ht="45" customHeight="1" x14ac:dyDescent="0.25">
      <c r="A147" s="59" t="s">
        <v>319</v>
      </c>
      <c r="B147" s="63" t="s">
        <v>283</v>
      </c>
      <c r="C147" s="60" t="s">
        <v>232</v>
      </c>
      <c r="D147" s="61">
        <v>4.87</v>
      </c>
      <c r="E147" s="62">
        <v>33.07</v>
      </c>
      <c r="F147" s="62">
        <f>33.07*$G$7</f>
        <v>33.07</v>
      </c>
      <c r="G147" s="62">
        <f t="shared" si="7"/>
        <v>161.05090000000001</v>
      </c>
      <c r="I147" s="93"/>
    </row>
    <row r="148" spans="1:9" ht="45" customHeight="1" x14ac:dyDescent="0.25">
      <c r="A148" s="59" t="s">
        <v>320</v>
      </c>
      <c r="B148" s="63" t="s">
        <v>321</v>
      </c>
      <c r="C148" s="60" t="s">
        <v>53</v>
      </c>
      <c r="D148" s="61">
        <v>2.48</v>
      </c>
      <c r="E148" s="62">
        <v>267.95</v>
      </c>
      <c r="F148" s="62">
        <f>267.95*$G$7</f>
        <v>267.95</v>
      </c>
      <c r="G148" s="62">
        <f t="shared" si="7"/>
        <v>664.51599999999996</v>
      </c>
      <c r="I148" s="93"/>
    </row>
    <row r="149" spans="1:9" ht="15" customHeight="1" x14ac:dyDescent="0.25">
      <c r="A149" s="55" t="s">
        <v>322</v>
      </c>
      <c r="B149" s="55" t="s">
        <v>323</v>
      </c>
      <c r="C149" s="55"/>
      <c r="D149" s="56"/>
      <c r="E149" s="57"/>
      <c r="F149" s="57"/>
      <c r="G149" s="57">
        <f>G150+G166+G181</f>
        <v>167879.97999999998</v>
      </c>
      <c r="I149" s="93"/>
    </row>
    <row r="150" spans="1:9" ht="15" customHeight="1" x14ac:dyDescent="0.25">
      <c r="A150" s="55" t="s">
        <v>324</v>
      </c>
      <c r="B150" s="55" t="s">
        <v>325</v>
      </c>
      <c r="C150" s="55"/>
      <c r="D150" s="56"/>
      <c r="E150" s="57"/>
      <c r="F150" s="57"/>
      <c r="G150" s="57">
        <f>SUM(G151:G165)</f>
        <v>97800.39999999998</v>
      </c>
    </row>
    <row r="151" spans="1:9" ht="30" customHeight="1" x14ac:dyDescent="0.25">
      <c r="A151" s="59" t="s">
        <v>326</v>
      </c>
      <c r="B151" s="59" t="s">
        <v>327</v>
      </c>
      <c r="C151" s="60" t="s">
        <v>62</v>
      </c>
      <c r="D151" s="61">
        <v>28</v>
      </c>
      <c r="E151" s="62">
        <v>1157.72</v>
      </c>
      <c r="F151" s="62">
        <f>1157.72*$G$7</f>
        <v>1157.72</v>
      </c>
      <c r="G151" s="62">
        <f t="shared" ref="G151:G165" si="8">D151*F151</f>
        <v>32416.16</v>
      </c>
    </row>
    <row r="152" spans="1:9" s="70" customFormat="1" ht="30" customHeight="1" x14ac:dyDescent="0.25">
      <c r="A152" s="59" t="s">
        <v>328</v>
      </c>
      <c r="B152" s="59" t="s">
        <v>329</v>
      </c>
      <c r="C152" s="60" t="s">
        <v>48</v>
      </c>
      <c r="D152" s="61">
        <v>4</v>
      </c>
      <c r="E152" s="62">
        <v>1095.03</v>
      </c>
      <c r="F152" s="62">
        <f>1095.03*$G$7</f>
        <v>1095.03</v>
      </c>
      <c r="G152" s="62">
        <f t="shared" si="8"/>
        <v>4380.12</v>
      </c>
    </row>
    <row r="153" spans="1:9" s="70" customFormat="1" ht="35.1" customHeight="1" x14ac:dyDescent="0.25">
      <c r="A153" s="59" t="s">
        <v>330</v>
      </c>
      <c r="B153" s="59" t="s">
        <v>331</v>
      </c>
      <c r="C153" s="60" t="s">
        <v>48</v>
      </c>
      <c r="D153" s="61">
        <v>4</v>
      </c>
      <c r="E153" s="62">
        <v>1505.86</v>
      </c>
      <c r="F153" s="62">
        <f>1505.86*$G$7</f>
        <v>1505.86</v>
      </c>
      <c r="G153" s="62">
        <f t="shared" si="8"/>
        <v>6023.44</v>
      </c>
    </row>
    <row r="154" spans="1:9" s="70" customFormat="1" ht="30" customHeight="1" x14ac:dyDescent="0.25">
      <c r="A154" s="59" t="s">
        <v>332</v>
      </c>
      <c r="B154" s="59" t="s">
        <v>333</v>
      </c>
      <c r="C154" s="60" t="s">
        <v>48</v>
      </c>
      <c r="D154" s="61">
        <v>2</v>
      </c>
      <c r="E154" s="62">
        <v>2337.63</v>
      </c>
      <c r="F154" s="62">
        <f>2337.63*$G$7</f>
        <v>2337.63</v>
      </c>
      <c r="G154" s="62">
        <f t="shared" si="8"/>
        <v>4675.26</v>
      </c>
    </row>
    <row r="155" spans="1:9" s="70" customFormat="1" ht="30" customHeight="1" x14ac:dyDescent="0.25">
      <c r="A155" s="59" t="s">
        <v>334</v>
      </c>
      <c r="B155" s="59" t="s">
        <v>335</v>
      </c>
      <c r="C155" s="60" t="s">
        <v>48</v>
      </c>
      <c r="D155" s="61">
        <v>1</v>
      </c>
      <c r="E155" s="62">
        <v>951.1</v>
      </c>
      <c r="F155" s="62">
        <f>951.1*$G$7</f>
        <v>951.1</v>
      </c>
      <c r="G155" s="62">
        <f t="shared" si="8"/>
        <v>951.1</v>
      </c>
    </row>
    <row r="156" spans="1:9" s="70" customFormat="1" ht="30" customHeight="1" x14ac:dyDescent="0.25">
      <c r="A156" s="59" t="s">
        <v>336</v>
      </c>
      <c r="B156" s="59" t="s">
        <v>337</v>
      </c>
      <c r="C156" s="60" t="s">
        <v>48</v>
      </c>
      <c r="D156" s="61">
        <v>2</v>
      </c>
      <c r="E156" s="62">
        <v>4120.38</v>
      </c>
      <c r="F156" s="62">
        <f>4120.38*$G$7</f>
        <v>4120.38</v>
      </c>
      <c r="G156" s="62">
        <f t="shared" si="8"/>
        <v>8240.76</v>
      </c>
    </row>
    <row r="157" spans="1:9" s="70" customFormat="1" ht="30" customHeight="1" x14ac:dyDescent="0.25">
      <c r="A157" s="59" t="s">
        <v>338</v>
      </c>
      <c r="B157" s="59" t="s">
        <v>339</v>
      </c>
      <c r="C157" s="60" t="s">
        <v>48</v>
      </c>
      <c r="D157" s="61">
        <v>2</v>
      </c>
      <c r="E157" s="62">
        <v>829.86</v>
      </c>
      <c r="F157" s="62">
        <f>829.86*$G$7</f>
        <v>829.86</v>
      </c>
      <c r="G157" s="62">
        <f t="shared" si="8"/>
        <v>1659.72</v>
      </c>
    </row>
    <row r="158" spans="1:9" s="70" customFormat="1" ht="30" customHeight="1" x14ac:dyDescent="0.25">
      <c r="A158" s="59" t="s">
        <v>340</v>
      </c>
      <c r="B158" s="59" t="s">
        <v>341</v>
      </c>
      <c r="C158" s="60" t="s">
        <v>48</v>
      </c>
      <c r="D158" s="61">
        <v>1</v>
      </c>
      <c r="E158" s="62">
        <v>898.38</v>
      </c>
      <c r="F158" s="62">
        <f>898.38*$G$7</f>
        <v>898.38</v>
      </c>
      <c r="G158" s="62">
        <f t="shared" si="8"/>
        <v>898.38</v>
      </c>
    </row>
    <row r="159" spans="1:9" s="70" customFormat="1" ht="30" customHeight="1" x14ac:dyDescent="0.25">
      <c r="A159" s="59" t="s">
        <v>342</v>
      </c>
      <c r="B159" s="59" t="s">
        <v>343</v>
      </c>
      <c r="C159" s="60" t="s">
        <v>48</v>
      </c>
      <c r="D159" s="61">
        <v>1</v>
      </c>
      <c r="E159" s="62">
        <v>1174.81</v>
      </c>
      <c r="F159" s="62">
        <f>1174.81*$G$7</f>
        <v>1174.81</v>
      </c>
      <c r="G159" s="62">
        <f t="shared" si="8"/>
        <v>1174.81</v>
      </c>
    </row>
    <row r="160" spans="1:9" s="70" customFormat="1" ht="30" customHeight="1" x14ac:dyDescent="0.25">
      <c r="A160" s="59" t="s">
        <v>344</v>
      </c>
      <c r="B160" s="59" t="s">
        <v>345</v>
      </c>
      <c r="C160" s="60" t="s">
        <v>62</v>
      </c>
      <c r="D160" s="61">
        <v>5</v>
      </c>
      <c r="E160" s="62">
        <v>528.32000000000005</v>
      </c>
      <c r="F160" s="62">
        <f>528.32*$G$7</f>
        <v>528.32000000000005</v>
      </c>
      <c r="G160" s="62">
        <f t="shared" si="8"/>
        <v>2641.6000000000004</v>
      </c>
    </row>
    <row r="161" spans="1:7" s="70" customFormat="1" ht="35.1" customHeight="1" x14ac:dyDescent="0.25">
      <c r="A161" s="59" t="s">
        <v>346</v>
      </c>
      <c r="B161" s="59" t="s">
        <v>347</v>
      </c>
      <c r="C161" s="60" t="s">
        <v>62</v>
      </c>
      <c r="D161" s="61">
        <v>2</v>
      </c>
      <c r="E161" s="62">
        <v>285.60000000000002</v>
      </c>
      <c r="F161" s="62">
        <f>285.6*$G$7</f>
        <v>285.60000000000002</v>
      </c>
      <c r="G161" s="62">
        <f t="shared" si="8"/>
        <v>571.20000000000005</v>
      </c>
    </row>
    <row r="162" spans="1:7" s="70" customFormat="1" ht="35.1" customHeight="1" x14ac:dyDescent="0.25">
      <c r="A162" s="59" t="s">
        <v>348</v>
      </c>
      <c r="B162" s="59" t="s">
        <v>349</v>
      </c>
      <c r="C162" s="60" t="s">
        <v>48</v>
      </c>
      <c r="D162" s="61">
        <v>1</v>
      </c>
      <c r="E162" s="62">
        <v>8798.19</v>
      </c>
      <c r="F162" s="62">
        <f>8798.19*$G$7</f>
        <v>8798.19</v>
      </c>
      <c r="G162" s="62">
        <f t="shared" si="8"/>
        <v>8798.19</v>
      </c>
    </row>
    <row r="163" spans="1:7" s="70" customFormat="1" ht="30" customHeight="1" x14ac:dyDescent="0.25">
      <c r="A163" s="59" t="s">
        <v>350</v>
      </c>
      <c r="B163" s="59" t="s">
        <v>351</v>
      </c>
      <c r="C163" s="60" t="s">
        <v>62</v>
      </c>
      <c r="D163" s="61">
        <v>2</v>
      </c>
      <c r="E163" s="62">
        <v>6366.22</v>
      </c>
      <c r="F163" s="62">
        <f>6366.22*$G$7</f>
        <v>6366.22</v>
      </c>
      <c r="G163" s="62">
        <f t="shared" si="8"/>
        <v>12732.44</v>
      </c>
    </row>
    <row r="164" spans="1:7" s="70" customFormat="1" ht="30" customHeight="1" x14ac:dyDescent="0.25">
      <c r="A164" s="59" t="s">
        <v>352</v>
      </c>
      <c r="B164" s="59" t="s">
        <v>353</v>
      </c>
      <c r="C164" s="60" t="s">
        <v>62</v>
      </c>
      <c r="D164" s="61">
        <v>1</v>
      </c>
      <c r="E164" s="62">
        <v>7115.18</v>
      </c>
      <c r="F164" s="62">
        <f>7115.18*$G$7</f>
        <v>7115.18</v>
      </c>
      <c r="G164" s="62">
        <f t="shared" si="8"/>
        <v>7115.18</v>
      </c>
    </row>
    <row r="165" spans="1:7" s="70" customFormat="1" ht="30" customHeight="1" x14ac:dyDescent="0.25">
      <c r="A165" s="59" t="s">
        <v>354</v>
      </c>
      <c r="B165" s="59" t="s">
        <v>355</v>
      </c>
      <c r="C165" s="60" t="s">
        <v>62</v>
      </c>
      <c r="D165" s="61">
        <v>36</v>
      </c>
      <c r="E165" s="62">
        <v>153.38999999999999</v>
      </c>
      <c r="F165" s="62">
        <f>153.39*$G$7</f>
        <v>153.38999999999999</v>
      </c>
      <c r="G165" s="62">
        <f t="shared" si="8"/>
        <v>5522.0399999999991</v>
      </c>
    </row>
    <row r="166" spans="1:7" ht="15" customHeight="1" x14ac:dyDescent="0.25">
      <c r="A166" s="55" t="s">
        <v>356</v>
      </c>
      <c r="B166" s="55" t="s">
        <v>357</v>
      </c>
      <c r="C166" s="55"/>
      <c r="D166" s="56"/>
      <c r="E166" s="57"/>
      <c r="F166" s="57"/>
      <c r="G166" s="57">
        <f>SUM(G167:G180)</f>
        <v>64686.57</v>
      </c>
    </row>
    <row r="167" spans="1:7" ht="30" customHeight="1" x14ac:dyDescent="0.25">
      <c r="A167" s="59" t="s">
        <v>358</v>
      </c>
      <c r="B167" s="59" t="s">
        <v>359</v>
      </c>
      <c r="C167" s="60" t="s">
        <v>62</v>
      </c>
      <c r="D167" s="61">
        <v>2</v>
      </c>
      <c r="E167" s="62">
        <v>187.27</v>
      </c>
      <c r="F167" s="62">
        <f>187.27*$G$7</f>
        <v>187.27</v>
      </c>
      <c r="G167" s="62">
        <f t="shared" ref="G167:G180" si="9">D167*F167</f>
        <v>374.54</v>
      </c>
    </row>
    <row r="168" spans="1:7" s="70" customFormat="1" ht="30" customHeight="1" x14ac:dyDescent="0.25">
      <c r="A168" s="59" t="s">
        <v>360</v>
      </c>
      <c r="B168" s="59" t="s">
        <v>361</v>
      </c>
      <c r="C168" s="60" t="s">
        <v>48</v>
      </c>
      <c r="D168" s="61">
        <v>13</v>
      </c>
      <c r="E168" s="62">
        <v>1901.37</v>
      </c>
      <c r="F168" s="62">
        <f>1901.37*$G$7</f>
        <v>1901.37</v>
      </c>
      <c r="G168" s="62">
        <f t="shared" si="9"/>
        <v>24717.809999999998</v>
      </c>
    </row>
    <row r="169" spans="1:7" s="70" customFormat="1" ht="30" customHeight="1" x14ac:dyDescent="0.25">
      <c r="A169" s="59" t="s">
        <v>362</v>
      </c>
      <c r="B169" s="59" t="s">
        <v>363</v>
      </c>
      <c r="C169" s="60" t="s">
        <v>48</v>
      </c>
      <c r="D169" s="61">
        <v>1</v>
      </c>
      <c r="E169" s="62">
        <v>1555.62</v>
      </c>
      <c r="F169" s="62">
        <f>1555.62*$G$7</f>
        <v>1555.62</v>
      </c>
      <c r="G169" s="62">
        <f t="shared" si="9"/>
        <v>1555.62</v>
      </c>
    </row>
    <row r="170" spans="1:7" s="70" customFormat="1" ht="30" customHeight="1" x14ac:dyDescent="0.25">
      <c r="A170" s="59" t="s">
        <v>364</v>
      </c>
      <c r="B170" s="59" t="s">
        <v>365</v>
      </c>
      <c r="C170" s="60" t="s">
        <v>48</v>
      </c>
      <c r="D170" s="61">
        <v>19</v>
      </c>
      <c r="E170" s="62">
        <v>386.36</v>
      </c>
      <c r="F170" s="62">
        <f>386.36*$G$7</f>
        <v>386.36</v>
      </c>
      <c r="G170" s="62">
        <f t="shared" si="9"/>
        <v>7340.84</v>
      </c>
    </row>
    <row r="171" spans="1:7" s="70" customFormat="1" ht="30" customHeight="1" x14ac:dyDescent="0.25">
      <c r="A171" s="59" t="s">
        <v>366</v>
      </c>
      <c r="B171" s="59" t="s">
        <v>367</v>
      </c>
      <c r="C171" s="60" t="s">
        <v>48</v>
      </c>
      <c r="D171" s="61">
        <v>1</v>
      </c>
      <c r="E171" s="62">
        <v>3802.74</v>
      </c>
      <c r="F171" s="62">
        <f>3802.74*$G$7</f>
        <v>3802.74</v>
      </c>
      <c r="G171" s="62">
        <f t="shared" si="9"/>
        <v>3802.74</v>
      </c>
    </row>
    <row r="172" spans="1:7" s="70" customFormat="1" ht="30" customHeight="1" x14ac:dyDescent="0.25">
      <c r="A172" s="59" t="s">
        <v>368</v>
      </c>
      <c r="B172" s="59" t="s">
        <v>369</v>
      </c>
      <c r="C172" s="60" t="s">
        <v>62</v>
      </c>
      <c r="D172" s="61">
        <v>1</v>
      </c>
      <c r="E172" s="62">
        <v>3884.78</v>
      </c>
      <c r="F172" s="62">
        <f>3884.78*$G$7</f>
        <v>3884.78</v>
      </c>
      <c r="G172" s="62">
        <f t="shared" si="9"/>
        <v>3884.78</v>
      </c>
    </row>
    <row r="173" spans="1:7" s="70" customFormat="1" ht="30" customHeight="1" x14ac:dyDescent="0.25">
      <c r="A173" s="59" t="s">
        <v>370</v>
      </c>
      <c r="B173" s="59" t="s">
        <v>371</v>
      </c>
      <c r="C173" s="60" t="s">
        <v>48</v>
      </c>
      <c r="D173" s="61">
        <v>1</v>
      </c>
      <c r="E173" s="62">
        <v>15868.71</v>
      </c>
      <c r="F173" s="62">
        <f>15868.71*$G$7</f>
        <v>15868.71</v>
      </c>
      <c r="G173" s="62">
        <f t="shared" si="9"/>
        <v>15868.71</v>
      </c>
    </row>
    <row r="174" spans="1:7" s="70" customFormat="1" ht="30" customHeight="1" x14ac:dyDescent="0.25">
      <c r="A174" s="59" t="s">
        <v>372</v>
      </c>
      <c r="B174" s="59" t="s">
        <v>373</v>
      </c>
      <c r="C174" s="60" t="s">
        <v>62</v>
      </c>
      <c r="D174" s="61">
        <v>1</v>
      </c>
      <c r="E174" s="62">
        <v>1339.57</v>
      </c>
      <c r="F174" s="62">
        <f>1339.57*$G$7</f>
        <v>1339.57</v>
      </c>
      <c r="G174" s="62">
        <f t="shared" si="9"/>
        <v>1339.57</v>
      </c>
    </row>
    <row r="175" spans="1:7" s="70" customFormat="1" ht="30" customHeight="1" x14ac:dyDescent="0.25">
      <c r="A175" s="59" t="s">
        <v>374</v>
      </c>
      <c r="B175" s="59" t="s">
        <v>375</v>
      </c>
      <c r="C175" s="60" t="s">
        <v>48</v>
      </c>
      <c r="D175" s="61">
        <v>1</v>
      </c>
      <c r="E175" s="62">
        <v>1123.5</v>
      </c>
      <c r="F175" s="62">
        <f>1123.5*$G$7</f>
        <v>1123.5</v>
      </c>
      <c r="G175" s="62">
        <f t="shared" si="9"/>
        <v>1123.5</v>
      </c>
    </row>
    <row r="176" spans="1:7" s="70" customFormat="1" ht="30" customHeight="1" x14ac:dyDescent="0.25">
      <c r="A176" s="59" t="s">
        <v>376</v>
      </c>
      <c r="B176" s="59" t="s">
        <v>377</v>
      </c>
      <c r="C176" s="60" t="s">
        <v>48</v>
      </c>
      <c r="D176" s="61">
        <v>1</v>
      </c>
      <c r="E176" s="62">
        <v>1151.23</v>
      </c>
      <c r="F176" s="62">
        <f>1151.23*$G$7</f>
        <v>1151.23</v>
      </c>
      <c r="G176" s="62">
        <f t="shared" si="9"/>
        <v>1151.23</v>
      </c>
    </row>
    <row r="177" spans="1:7" s="70" customFormat="1" ht="30" customHeight="1" x14ac:dyDescent="0.25">
      <c r="A177" s="59" t="s">
        <v>378</v>
      </c>
      <c r="B177" s="59" t="s">
        <v>379</v>
      </c>
      <c r="C177" s="60" t="s">
        <v>48</v>
      </c>
      <c r="D177" s="61">
        <v>1</v>
      </c>
      <c r="E177" s="62">
        <v>1854.64</v>
      </c>
      <c r="F177" s="62">
        <f>1854.64*$G$7</f>
        <v>1854.64</v>
      </c>
      <c r="G177" s="62">
        <f t="shared" si="9"/>
        <v>1854.64</v>
      </c>
    </row>
    <row r="178" spans="1:7" s="70" customFormat="1" ht="30" customHeight="1" x14ac:dyDescent="0.25">
      <c r="A178" s="59" t="s">
        <v>380</v>
      </c>
      <c r="B178" s="59" t="s">
        <v>381</v>
      </c>
      <c r="C178" s="60" t="s">
        <v>48</v>
      </c>
      <c r="D178" s="61">
        <v>1</v>
      </c>
      <c r="E178" s="62">
        <v>791.05</v>
      </c>
      <c r="F178" s="62">
        <f>791.05*$G$7</f>
        <v>791.05</v>
      </c>
      <c r="G178" s="62">
        <f t="shared" si="9"/>
        <v>791.05</v>
      </c>
    </row>
    <row r="179" spans="1:7" s="70" customFormat="1" ht="30" customHeight="1" x14ac:dyDescent="0.25">
      <c r="A179" s="59" t="s">
        <v>382</v>
      </c>
      <c r="B179" s="59" t="s">
        <v>383</v>
      </c>
      <c r="C179" s="60" t="s">
        <v>48</v>
      </c>
      <c r="D179" s="61">
        <v>1</v>
      </c>
      <c r="E179" s="62">
        <v>635.66999999999996</v>
      </c>
      <c r="F179" s="62">
        <f>635.67*$G$7</f>
        <v>635.66999999999996</v>
      </c>
      <c r="G179" s="62">
        <f t="shared" si="9"/>
        <v>635.66999999999996</v>
      </c>
    </row>
    <row r="180" spans="1:7" s="70" customFormat="1" ht="30" customHeight="1" x14ac:dyDescent="0.25">
      <c r="A180" s="59" t="s">
        <v>384</v>
      </c>
      <c r="B180" s="59" t="s">
        <v>385</v>
      </c>
      <c r="C180" s="60" t="s">
        <v>48</v>
      </c>
      <c r="D180" s="61">
        <v>1</v>
      </c>
      <c r="E180" s="62">
        <v>245.87</v>
      </c>
      <c r="F180" s="62">
        <f>245.87*$G$7</f>
        <v>245.87</v>
      </c>
      <c r="G180" s="62">
        <f t="shared" si="9"/>
        <v>245.87</v>
      </c>
    </row>
    <row r="181" spans="1:7" ht="15" customHeight="1" x14ac:dyDescent="0.25">
      <c r="A181" s="55" t="s">
        <v>386</v>
      </c>
      <c r="B181" s="55" t="s">
        <v>387</v>
      </c>
      <c r="C181" s="55"/>
      <c r="D181" s="56"/>
      <c r="E181" s="57"/>
      <c r="F181" s="57"/>
      <c r="G181" s="57">
        <f>SUM(G182:G184)</f>
        <v>5393.01</v>
      </c>
    </row>
    <row r="182" spans="1:7" ht="20.100000000000001" customHeight="1" x14ac:dyDescent="0.25">
      <c r="A182" s="59" t="s">
        <v>388</v>
      </c>
      <c r="B182" s="59" t="s">
        <v>389</v>
      </c>
      <c r="C182" s="60" t="s">
        <v>48</v>
      </c>
      <c r="D182" s="61">
        <v>7</v>
      </c>
      <c r="E182" s="62">
        <v>521.39</v>
      </c>
      <c r="F182" s="62">
        <f>521.39*$G$7</f>
        <v>521.39</v>
      </c>
      <c r="G182" s="62">
        <f>D182*F182</f>
        <v>3649.73</v>
      </c>
    </row>
    <row r="183" spans="1:7" s="70" customFormat="1" ht="20.100000000000001" customHeight="1" x14ac:dyDescent="0.25">
      <c r="A183" s="59" t="s">
        <v>390</v>
      </c>
      <c r="B183" s="59" t="s">
        <v>391</v>
      </c>
      <c r="C183" s="60" t="s">
        <v>48</v>
      </c>
      <c r="D183" s="61">
        <v>3</v>
      </c>
      <c r="E183" s="62">
        <v>405.54</v>
      </c>
      <c r="F183" s="62">
        <f>405.54*$G$7</f>
        <v>405.54</v>
      </c>
      <c r="G183" s="62">
        <f>D183*F183</f>
        <v>1216.6200000000001</v>
      </c>
    </row>
    <row r="184" spans="1:7" s="70" customFormat="1" ht="20.100000000000001" customHeight="1" x14ac:dyDescent="0.25">
      <c r="A184" s="59" t="s">
        <v>392</v>
      </c>
      <c r="B184" s="59" t="s">
        <v>393</v>
      </c>
      <c r="C184" s="60" t="s">
        <v>48</v>
      </c>
      <c r="D184" s="61">
        <v>1</v>
      </c>
      <c r="E184" s="62">
        <v>526.66</v>
      </c>
      <c r="F184" s="62">
        <f>526.66*$G$7</f>
        <v>526.66</v>
      </c>
      <c r="G184" s="62">
        <f>D184*F184</f>
        <v>526.66</v>
      </c>
    </row>
    <row r="185" spans="1:7" ht="15" customHeight="1" x14ac:dyDescent="0.25">
      <c r="A185" s="55" t="s">
        <v>394</v>
      </c>
      <c r="B185" s="55" t="s">
        <v>395</v>
      </c>
      <c r="C185" s="55"/>
      <c r="D185" s="56"/>
      <c r="E185" s="57"/>
      <c r="F185" s="57"/>
      <c r="G185" s="57">
        <f>SUM(G186:G192)</f>
        <v>70781.457000000009</v>
      </c>
    </row>
    <row r="186" spans="1:7" ht="50.1" customHeight="1" x14ac:dyDescent="0.25">
      <c r="A186" s="59" t="s">
        <v>396</v>
      </c>
      <c r="B186" s="59" t="s">
        <v>397</v>
      </c>
      <c r="C186" s="60" t="s">
        <v>53</v>
      </c>
      <c r="D186" s="61">
        <v>508.1</v>
      </c>
      <c r="E186" s="62">
        <v>20.88</v>
      </c>
      <c r="F186" s="62">
        <f>20.88*$G$7</f>
        <v>20.88</v>
      </c>
      <c r="G186" s="62">
        <f t="shared" ref="G186:G192" si="10">D186*F186</f>
        <v>10609.128000000001</v>
      </c>
    </row>
    <row r="187" spans="1:7" ht="39.950000000000003" customHeight="1" x14ac:dyDescent="0.25">
      <c r="A187" s="59" t="s">
        <v>398</v>
      </c>
      <c r="B187" s="59" t="s">
        <v>399</v>
      </c>
      <c r="C187" s="60" t="s">
        <v>53</v>
      </c>
      <c r="D187" s="61">
        <v>508.1</v>
      </c>
      <c r="E187" s="62">
        <v>20.3</v>
      </c>
      <c r="F187" s="62">
        <f>20.3*$G$7</f>
        <v>20.3</v>
      </c>
      <c r="G187" s="62">
        <f t="shared" si="10"/>
        <v>10314.43</v>
      </c>
    </row>
    <row r="188" spans="1:7" ht="30" customHeight="1" x14ac:dyDescent="0.25">
      <c r="A188" s="59" t="s">
        <v>400</v>
      </c>
      <c r="B188" s="59" t="s">
        <v>401</v>
      </c>
      <c r="C188" s="60" t="s">
        <v>53</v>
      </c>
      <c r="D188" s="61">
        <v>508.1</v>
      </c>
      <c r="E188" s="62">
        <v>5.72</v>
      </c>
      <c r="F188" s="62">
        <f>5.72*$G$7</f>
        <v>5.72</v>
      </c>
      <c r="G188" s="62">
        <f t="shared" si="10"/>
        <v>2906.3319999999999</v>
      </c>
    </row>
    <row r="189" spans="1:7" ht="39.950000000000003" customHeight="1" x14ac:dyDescent="0.25">
      <c r="A189" s="59" t="s">
        <v>402</v>
      </c>
      <c r="B189" s="59" t="s">
        <v>403</v>
      </c>
      <c r="C189" s="60" t="s">
        <v>53</v>
      </c>
      <c r="D189" s="61">
        <v>508.1</v>
      </c>
      <c r="E189" s="62">
        <v>46.39</v>
      </c>
      <c r="F189" s="62">
        <f>46.39*$G$7</f>
        <v>46.39</v>
      </c>
      <c r="G189" s="62">
        <f t="shared" si="10"/>
        <v>23570.759000000002</v>
      </c>
    </row>
    <row r="190" spans="1:7" ht="24.95" customHeight="1" x14ac:dyDescent="0.25">
      <c r="A190" s="59" t="s">
        <v>404</v>
      </c>
      <c r="B190" s="59" t="s">
        <v>405</v>
      </c>
      <c r="C190" s="60" t="s">
        <v>232</v>
      </c>
      <c r="D190" s="61">
        <v>21.2</v>
      </c>
      <c r="E190" s="62">
        <v>56.34</v>
      </c>
      <c r="F190" s="62">
        <f>56.34*$G$7</f>
        <v>56.34</v>
      </c>
      <c r="G190" s="62">
        <f t="shared" si="10"/>
        <v>1194.4080000000001</v>
      </c>
    </row>
    <row r="191" spans="1:7" s="70" customFormat="1" ht="24.95" customHeight="1" x14ac:dyDescent="0.25">
      <c r="A191" s="59" t="s">
        <v>406</v>
      </c>
      <c r="B191" s="59" t="s">
        <v>407</v>
      </c>
      <c r="C191" s="60" t="s">
        <v>235</v>
      </c>
      <c r="D191" s="61">
        <v>121.8</v>
      </c>
      <c r="E191" s="62">
        <v>25.21</v>
      </c>
      <c r="F191" s="62">
        <f>25.21*$G$7</f>
        <v>25.21</v>
      </c>
      <c r="G191" s="62">
        <f t="shared" si="10"/>
        <v>3070.578</v>
      </c>
    </row>
    <row r="192" spans="1:7" s="70" customFormat="1" ht="24.95" customHeight="1" x14ac:dyDescent="0.25">
      <c r="A192" s="59" t="s">
        <v>408</v>
      </c>
      <c r="B192" s="59" t="s">
        <v>409</v>
      </c>
      <c r="C192" s="60" t="s">
        <v>235</v>
      </c>
      <c r="D192" s="61">
        <v>266.2</v>
      </c>
      <c r="E192" s="62">
        <v>71.81</v>
      </c>
      <c r="F192" s="62">
        <f>71.81*$G$7</f>
        <v>71.81</v>
      </c>
      <c r="G192" s="62">
        <f t="shared" si="10"/>
        <v>19115.822</v>
      </c>
    </row>
    <row r="193" spans="1:7" ht="15" customHeight="1" x14ac:dyDescent="0.25">
      <c r="A193" s="55" t="s">
        <v>410</v>
      </c>
      <c r="B193" s="55" t="s">
        <v>411</v>
      </c>
      <c r="C193" s="55"/>
      <c r="D193" s="56"/>
      <c r="E193" s="57"/>
      <c r="F193" s="57"/>
      <c r="G193" s="57">
        <f>SUM(G194:G200)</f>
        <v>87846.825500000006</v>
      </c>
    </row>
    <row r="194" spans="1:7" ht="24.95" customHeight="1" x14ac:dyDescent="0.25">
      <c r="A194" s="59" t="s">
        <v>412</v>
      </c>
      <c r="B194" s="59" t="s">
        <v>413</v>
      </c>
      <c r="C194" s="60" t="s">
        <v>53</v>
      </c>
      <c r="D194" s="61">
        <v>497.5</v>
      </c>
      <c r="E194" s="62">
        <v>91.28</v>
      </c>
      <c r="F194" s="62">
        <f>91.28*$G$7</f>
        <v>91.28</v>
      </c>
      <c r="G194" s="62">
        <f t="shared" ref="G194:G200" si="11">D194*F194</f>
        <v>45411.8</v>
      </c>
    </row>
    <row r="195" spans="1:7" s="70" customFormat="1" ht="24.95" customHeight="1" x14ac:dyDescent="0.25">
      <c r="A195" s="59" t="s">
        <v>414</v>
      </c>
      <c r="B195" s="59" t="s">
        <v>415</v>
      </c>
      <c r="C195" s="60" t="s">
        <v>53</v>
      </c>
      <c r="D195" s="61">
        <v>9.4</v>
      </c>
      <c r="E195" s="62">
        <v>162.76</v>
      </c>
      <c r="F195" s="62">
        <f>162.76*$G$7</f>
        <v>162.76</v>
      </c>
      <c r="G195" s="62">
        <f t="shared" si="11"/>
        <v>1529.944</v>
      </c>
    </row>
    <row r="196" spans="1:7" s="70" customFormat="1" ht="24.95" customHeight="1" x14ac:dyDescent="0.25">
      <c r="A196" s="59" t="s">
        <v>416</v>
      </c>
      <c r="B196" s="59" t="s">
        <v>417</v>
      </c>
      <c r="C196" s="60" t="s">
        <v>53</v>
      </c>
      <c r="D196" s="61">
        <v>539.25</v>
      </c>
      <c r="E196" s="62">
        <v>10.81</v>
      </c>
      <c r="F196" s="62">
        <f>10.81*$G$7</f>
        <v>10.81</v>
      </c>
      <c r="G196" s="62">
        <f t="shared" si="11"/>
        <v>5829.2925000000005</v>
      </c>
    </row>
    <row r="197" spans="1:7" s="70" customFormat="1" ht="24.95" customHeight="1" x14ac:dyDescent="0.25">
      <c r="A197" s="59" t="s">
        <v>418</v>
      </c>
      <c r="B197" s="59" t="s">
        <v>419</v>
      </c>
      <c r="C197" s="60" t="s">
        <v>53</v>
      </c>
      <c r="D197" s="61">
        <v>49.9</v>
      </c>
      <c r="E197" s="62">
        <v>14.04</v>
      </c>
      <c r="F197" s="62">
        <f>14.04*$G$7</f>
        <v>14.04</v>
      </c>
      <c r="G197" s="62">
        <f t="shared" si="11"/>
        <v>700.59599999999989</v>
      </c>
    </row>
    <row r="198" spans="1:7" s="70" customFormat="1" ht="24.95" customHeight="1" x14ac:dyDescent="0.25">
      <c r="A198" s="59" t="s">
        <v>420</v>
      </c>
      <c r="B198" s="59" t="s">
        <v>421</v>
      </c>
      <c r="C198" s="60" t="s">
        <v>232</v>
      </c>
      <c r="D198" s="61">
        <v>421.5</v>
      </c>
      <c r="E198" s="62">
        <v>24.11</v>
      </c>
      <c r="F198" s="62">
        <f>24.11*$G$7</f>
        <v>24.11</v>
      </c>
      <c r="G198" s="62">
        <f t="shared" si="11"/>
        <v>10162.365</v>
      </c>
    </row>
    <row r="199" spans="1:7" s="70" customFormat="1" ht="24.95" customHeight="1" x14ac:dyDescent="0.25">
      <c r="A199" s="59" t="s">
        <v>422</v>
      </c>
      <c r="B199" s="59" t="s">
        <v>423</v>
      </c>
      <c r="C199" s="60" t="s">
        <v>424</v>
      </c>
      <c r="D199" s="61">
        <v>345.7</v>
      </c>
      <c r="E199" s="62">
        <v>30.22</v>
      </c>
      <c r="F199" s="62">
        <f>30.22*$G$7</f>
        <v>30.22</v>
      </c>
      <c r="G199" s="62">
        <f t="shared" si="11"/>
        <v>10447.054</v>
      </c>
    </row>
    <row r="200" spans="1:7" s="70" customFormat="1" ht="24.95" customHeight="1" x14ac:dyDescent="0.25">
      <c r="A200" s="59" t="s">
        <v>425</v>
      </c>
      <c r="B200" s="59" t="s">
        <v>426</v>
      </c>
      <c r="C200" s="60" t="s">
        <v>424</v>
      </c>
      <c r="D200" s="61">
        <v>345.7</v>
      </c>
      <c r="E200" s="62">
        <v>39.82</v>
      </c>
      <c r="F200" s="62">
        <f>39.82*$G$7</f>
        <v>39.82</v>
      </c>
      <c r="G200" s="62">
        <f t="shared" si="11"/>
        <v>13765.773999999999</v>
      </c>
    </row>
    <row r="201" spans="1:7" ht="15" customHeight="1" x14ac:dyDescent="0.25">
      <c r="A201" s="55" t="s">
        <v>427</v>
      </c>
      <c r="B201" s="55" t="s">
        <v>428</v>
      </c>
      <c r="C201" s="55"/>
      <c r="D201" s="56"/>
      <c r="E201" s="57"/>
      <c r="F201" s="57"/>
      <c r="G201" s="57">
        <f>G202+G206</f>
        <v>236462.55209999997</v>
      </c>
    </row>
    <row r="202" spans="1:7" ht="15" customHeight="1" x14ac:dyDescent="0.25">
      <c r="A202" s="55" t="s">
        <v>429</v>
      </c>
      <c r="B202" s="55" t="s">
        <v>430</v>
      </c>
      <c r="C202" s="55"/>
      <c r="D202" s="56"/>
      <c r="E202" s="57"/>
      <c r="F202" s="57"/>
      <c r="G202" s="57">
        <f>SUM(G203:G205)</f>
        <v>55946.079999999994</v>
      </c>
    </row>
    <row r="203" spans="1:7" ht="35.1" customHeight="1" x14ac:dyDescent="0.25">
      <c r="A203" s="59" t="s">
        <v>431</v>
      </c>
      <c r="B203" s="59" t="s">
        <v>308</v>
      </c>
      <c r="C203" s="60" t="s">
        <v>53</v>
      </c>
      <c r="D203" s="61">
        <v>1045.5999999999999</v>
      </c>
      <c r="E203" s="62">
        <v>3.77</v>
      </c>
      <c r="F203" s="62">
        <f>3.77*$G$7</f>
        <v>3.77</v>
      </c>
      <c r="G203" s="62">
        <f>D203*F203</f>
        <v>3941.9119999999998</v>
      </c>
    </row>
    <row r="204" spans="1:7" s="70" customFormat="1" ht="35.1" customHeight="1" x14ac:dyDescent="0.25">
      <c r="A204" s="59" t="s">
        <v>432</v>
      </c>
      <c r="B204" s="59" t="s">
        <v>310</v>
      </c>
      <c r="C204" s="60" t="s">
        <v>53</v>
      </c>
      <c r="D204" s="61">
        <v>1045.5999999999999</v>
      </c>
      <c r="E204" s="62">
        <v>35.78</v>
      </c>
      <c r="F204" s="62">
        <f>35.78*$G$7</f>
        <v>35.78</v>
      </c>
      <c r="G204" s="62">
        <f>D204*F204</f>
        <v>37411.567999999999</v>
      </c>
    </row>
    <row r="205" spans="1:7" s="70" customFormat="1" ht="35.1" customHeight="1" x14ac:dyDescent="0.25">
      <c r="A205" s="59" t="s">
        <v>433</v>
      </c>
      <c r="B205" s="59" t="s">
        <v>434</v>
      </c>
      <c r="C205" s="60" t="s">
        <v>53</v>
      </c>
      <c r="D205" s="61">
        <v>301.5</v>
      </c>
      <c r="E205" s="62">
        <v>48.4</v>
      </c>
      <c r="F205" s="62">
        <f>48.4*$G$7</f>
        <v>48.4</v>
      </c>
      <c r="G205" s="62">
        <f>D205*F205</f>
        <v>14592.6</v>
      </c>
    </row>
    <row r="206" spans="1:7" ht="15" customHeight="1" x14ac:dyDescent="0.25">
      <c r="A206" s="55" t="s">
        <v>435</v>
      </c>
      <c r="B206" s="55" t="s">
        <v>436</v>
      </c>
      <c r="C206" s="55"/>
      <c r="D206" s="56"/>
      <c r="E206" s="57"/>
      <c r="F206" s="57"/>
      <c r="G206" s="57">
        <f>SUM(G207:G217)</f>
        <v>180516.47209999998</v>
      </c>
    </row>
    <row r="207" spans="1:7" ht="35.1" customHeight="1" x14ac:dyDescent="0.25">
      <c r="A207" s="59" t="s">
        <v>437</v>
      </c>
      <c r="B207" s="59" t="s">
        <v>438</v>
      </c>
      <c r="C207" s="60" t="s">
        <v>53</v>
      </c>
      <c r="D207" s="61">
        <v>1216.5</v>
      </c>
      <c r="E207" s="62">
        <v>6.22</v>
      </c>
      <c r="F207" s="62">
        <f>6.22*$G$7</f>
        <v>6.22</v>
      </c>
      <c r="G207" s="62">
        <f t="shared" ref="G207:G217" si="12">F207*D207</f>
        <v>7566.63</v>
      </c>
    </row>
    <row r="208" spans="1:7" s="70" customFormat="1" ht="35.1" customHeight="1" x14ac:dyDescent="0.25">
      <c r="A208" s="59" t="s">
        <v>439</v>
      </c>
      <c r="B208" s="59" t="s">
        <v>440</v>
      </c>
      <c r="C208" s="60" t="s">
        <v>53</v>
      </c>
      <c r="D208" s="61">
        <v>536.5</v>
      </c>
      <c r="E208" s="62">
        <v>8.32</v>
      </c>
      <c r="F208" s="62">
        <f>8.32*$G$7</f>
        <v>8.32</v>
      </c>
      <c r="G208" s="62">
        <f t="shared" si="12"/>
        <v>4463.68</v>
      </c>
    </row>
    <row r="209" spans="1:7" s="70" customFormat="1" ht="35.1" customHeight="1" x14ac:dyDescent="0.25">
      <c r="A209" s="59" t="s">
        <v>441</v>
      </c>
      <c r="B209" s="59" t="s">
        <v>442</v>
      </c>
      <c r="C209" s="60" t="s">
        <v>53</v>
      </c>
      <c r="D209" s="61">
        <v>1216.5</v>
      </c>
      <c r="E209" s="62">
        <v>35.39</v>
      </c>
      <c r="F209" s="62">
        <f>35.39*$G$7</f>
        <v>35.39</v>
      </c>
      <c r="G209" s="62">
        <f t="shared" si="12"/>
        <v>43051.934999999998</v>
      </c>
    </row>
    <row r="210" spans="1:7" s="70" customFormat="1" ht="35.1" customHeight="1" x14ac:dyDescent="0.25">
      <c r="A210" s="59" t="s">
        <v>443</v>
      </c>
      <c r="B210" s="59" t="s">
        <v>444</v>
      </c>
      <c r="C210" s="60" t="s">
        <v>53</v>
      </c>
      <c r="D210" s="61">
        <v>536.5</v>
      </c>
      <c r="E210" s="62">
        <v>53.37</v>
      </c>
      <c r="F210" s="62">
        <f>53.37*$G$7</f>
        <v>53.37</v>
      </c>
      <c r="G210" s="62">
        <f t="shared" si="12"/>
        <v>28633.004999999997</v>
      </c>
    </row>
    <row r="211" spans="1:7" s="70" customFormat="1" ht="35.1" customHeight="1" x14ac:dyDescent="0.25">
      <c r="A211" s="59" t="s">
        <v>445</v>
      </c>
      <c r="B211" s="59" t="s">
        <v>446</v>
      </c>
      <c r="C211" s="60" t="s">
        <v>53</v>
      </c>
      <c r="D211" s="61">
        <v>31.8</v>
      </c>
      <c r="E211" s="62">
        <v>134.13</v>
      </c>
      <c r="F211" s="62">
        <f>134.13*$G$7</f>
        <v>134.13</v>
      </c>
      <c r="G211" s="62">
        <f t="shared" si="12"/>
        <v>4265.3339999999998</v>
      </c>
    </row>
    <row r="212" spans="1:7" s="70" customFormat="1" ht="35.1" customHeight="1" x14ac:dyDescent="0.25">
      <c r="A212" s="59" t="s">
        <v>447</v>
      </c>
      <c r="B212" s="59" t="s">
        <v>448</v>
      </c>
      <c r="C212" s="60" t="s">
        <v>53</v>
      </c>
      <c r="D212" s="61">
        <v>72.5</v>
      </c>
      <c r="E212" s="62">
        <v>120.34</v>
      </c>
      <c r="F212" s="62">
        <f>120.34*$G$7</f>
        <v>120.34</v>
      </c>
      <c r="G212" s="62">
        <f t="shared" si="12"/>
        <v>8724.65</v>
      </c>
    </row>
    <row r="213" spans="1:7" s="70" customFormat="1" ht="35.1" customHeight="1" x14ac:dyDescent="0.25">
      <c r="A213" s="59" t="s">
        <v>449</v>
      </c>
      <c r="B213" s="59" t="s">
        <v>450</v>
      </c>
      <c r="C213" s="60" t="s">
        <v>53</v>
      </c>
      <c r="D213" s="61">
        <v>229.2</v>
      </c>
      <c r="E213" s="62">
        <v>98.47</v>
      </c>
      <c r="F213" s="62">
        <f>98.47*$G$7</f>
        <v>98.47</v>
      </c>
      <c r="G213" s="62">
        <f t="shared" si="12"/>
        <v>22569.323999999997</v>
      </c>
    </row>
    <row r="214" spans="1:7" s="70" customFormat="1" ht="35.1" customHeight="1" x14ac:dyDescent="0.25">
      <c r="A214" s="59" t="s">
        <v>451</v>
      </c>
      <c r="B214" s="59" t="s">
        <v>312</v>
      </c>
      <c r="C214" s="60" t="s">
        <v>53</v>
      </c>
      <c r="D214" s="61">
        <v>29.9</v>
      </c>
      <c r="E214" s="62">
        <v>86.85</v>
      </c>
      <c r="F214" s="62">
        <f>86.85*$G$7</f>
        <v>86.85</v>
      </c>
      <c r="G214" s="62">
        <f t="shared" si="12"/>
        <v>2596.8149999999996</v>
      </c>
    </row>
    <row r="215" spans="1:7" s="70" customFormat="1" ht="35.1" customHeight="1" x14ac:dyDescent="0.25">
      <c r="A215" s="59" t="s">
        <v>452</v>
      </c>
      <c r="B215" s="59" t="s">
        <v>453</v>
      </c>
      <c r="C215" s="60" t="s">
        <v>53</v>
      </c>
      <c r="D215" s="61">
        <v>275.5</v>
      </c>
      <c r="E215" s="62">
        <v>92.99</v>
      </c>
      <c r="F215" s="62">
        <f>92.99*$G$7</f>
        <v>92.99</v>
      </c>
      <c r="G215" s="62">
        <f t="shared" si="12"/>
        <v>25618.744999999999</v>
      </c>
    </row>
    <row r="216" spans="1:7" s="70" customFormat="1" ht="35.1" customHeight="1" x14ac:dyDescent="0.25">
      <c r="A216" s="59" t="s">
        <v>454</v>
      </c>
      <c r="B216" s="59" t="s">
        <v>455</v>
      </c>
      <c r="C216" s="60" t="s">
        <v>424</v>
      </c>
      <c r="D216" s="61">
        <v>111.9</v>
      </c>
      <c r="E216" s="62">
        <v>81.69</v>
      </c>
      <c r="F216" s="62">
        <f>81.69*$G$7</f>
        <v>81.69</v>
      </c>
      <c r="G216" s="62">
        <f t="shared" si="12"/>
        <v>9141.1110000000008</v>
      </c>
    </row>
    <row r="217" spans="1:7" s="70" customFormat="1" ht="35.1" customHeight="1" x14ac:dyDescent="0.25">
      <c r="A217" s="59" t="s">
        <v>456</v>
      </c>
      <c r="B217" s="59" t="s">
        <v>457</v>
      </c>
      <c r="C217" s="60" t="s">
        <v>53</v>
      </c>
      <c r="D217" s="61">
        <v>63.09</v>
      </c>
      <c r="E217" s="62">
        <v>378.59</v>
      </c>
      <c r="F217" s="62">
        <f>378.59*$G$7</f>
        <v>378.59</v>
      </c>
      <c r="G217" s="62">
        <f t="shared" si="12"/>
        <v>23885.2431</v>
      </c>
    </row>
    <row r="218" spans="1:7" ht="15" customHeight="1" x14ac:dyDescent="0.25">
      <c r="A218" s="55" t="s">
        <v>458</v>
      </c>
      <c r="B218" s="55" t="s">
        <v>459</v>
      </c>
      <c r="C218" s="55"/>
      <c r="D218" s="56"/>
      <c r="E218" s="57"/>
      <c r="F218" s="57"/>
      <c r="G218" s="57">
        <f>G219+G223+G228</f>
        <v>183307.23700000002</v>
      </c>
    </row>
    <row r="219" spans="1:7" ht="15" customHeight="1" x14ac:dyDescent="0.25">
      <c r="A219" s="55" t="s">
        <v>460</v>
      </c>
      <c r="B219" s="55" t="s">
        <v>461</v>
      </c>
      <c r="C219" s="55"/>
      <c r="D219" s="56"/>
      <c r="E219" s="57"/>
      <c r="F219" s="57"/>
      <c r="G219" s="57">
        <f>SUM(G220:G222)</f>
        <v>103692.97200000001</v>
      </c>
    </row>
    <row r="220" spans="1:7" ht="35.1" customHeight="1" x14ac:dyDescent="0.25">
      <c r="A220" s="59" t="s">
        <v>462</v>
      </c>
      <c r="B220" s="59" t="s">
        <v>463</v>
      </c>
      <c r="C220" s="60" t="s">
        <v>53</v>
      </c>
      <c r="D220" s="61">
        <v>786.4</v>
      </c>
      <c r="E220" s="62">
        <v>31.07</v>
      </c>
      <c r="F220" s="62">
        <f>31.07*$G$7</f>
        <v>31.07</v>
      </c>
      <c r="G220" s="62">
        <f>D220*F220</f>
        <v>24433.448</v>
      </c>
    </row>
    <row r="221" spans="1:7" s="70" customFormat="1" ht="35.1" customHeight="1" x14ac:dyDescent="0.25">
      <c r="A221" s="59" t="s">
        <v>464</v>
      </c>
      <c r="B221" s="59" t="s">
        <v>465</v>
      </c>
      <c r="C221" s="60" t="s">
        <v>53</v>
      </c>
      <c r="D221" s="61">
        <v>704.6</v>
      </c>
      <c r="E221" s="62">
        <v>108.3</v>
      </c>
      <c r="F221" s="62">
        <f>108.3*$G$7</f>
        <v>108.3</v>
      </c>
      <c r="G221" s="62">
        <f>D221*F221</f>
        <v>76308.180000000008</v>
      </c>
    </row>
    <row r="222" spans="1:7" s="70" customFormat="1" ht="35.1" customHeight="1" x14ac:dyDescent="0.25">
      <c r="A222" s="59" t="s">
        <v>466</v>
      </c>
      <c r="B222" s="59" t="s">
        <v>467</v>
      </c>
      <c r="C222" s="60" t="s">
        <v>53</v>
      </c>
      <c r="D222" s="61">
        <v>81.8</v>
      </c>
      <c r="E222" s="62">
        <v>36.08</v>
      </c>
      <c r="F222" s="62">
        <f>36.08*$G$7</f>
        <v>36.08</v>
      </c>
      <c r="G222" s="62">
        <f>D222*F222</f>
        <v>2951.3439999999996</v>
      </c>
    </row>
    <row r="223" spans="1:7" ht="15" customHeight="1" x14ac:dyDescent="0.25">
      <c r="A223" s="55" t="s">
        <v>468</v>
      </c>
      <c r="B223" s="55" t="s">
        <v>469</v>
      </c>
      <c r="C223" s="55"/>
      <c r="D223" s="56"/>
      <c r="E223" s="57"/>
      <c r="F223" s="57"/>
      <c r="G223" s="57">
        <f>SUM(G224:G227)</f>
        <v>63725.933000000005</v>
      </c>
    </row>
    <row r="224" spans="1:7" ht="35.1" customHeight="1" x14ac:dyDescent="0.25">
      <c r="A224" s="59" t="s">
        <v>470</v>
      </c>
      <c r="B224" s="59" t="s">
        <v>471</v>
      </c>
      <c r="C224" s="60" t="s">
        <v>53</v>
      </c>
      <c r="D224" s="61">
        <v>377.05</v>
      </c>
      <c r="E224" s="62">
        <v>66.7</v>
      </c>
      <c r="F224" s="62">
        <f>66.7*$G$7</f>
        <v>66.7</v>
      </c>
      <c r="G224" s="62">
        <f>F224*D224</f>
        <v>25149.235000000001</v>
      </c>
    </row>
    <row r="225" spans="1:7" s="70" customFormat="1" ht="35.1" customHeight="1" x14ac:dyDescent="0.25">
      <c r="A225" s="59" t="s">
        <v>472</v>
      </c>
      <c r="B225" s="59" t="s">
        <v>473</v>
      </c>
      <c r="C225" s="60" t="s">
        <v>53</v>
      </c>
      <c r="D225" s="61">
        <v>511.1</v>
      </c>
      <c r="E225" s="62">
        <v>56.96</v>
      </c>
      <c r="F225" s="62">
        <f>56.96*$G$7</f>
        <v>56.96</v>
      </c>
      <c r="G225" s="62">
        <f>F225*D225</f>
        <v>29112.256000000001</v>
      </c>
    </row>
    <row r="226" spans="1:7" s="70" customFormat="1" ht="47.1" customHeight="1" x14ac:dyDescent="0.25">
      <c r="A226" s="59" t="s">
        <v>474</v>
      </c>
      <c r="B226" s="59" t="s">
        <v>475</v>
      </c>
      <c r="C226" s="60" t="s">
        <v>232</v>
      </c>
      <c r="D226" s="61">
        <v>183</v>
      </c>
      <c r="E226" s="62">
        <v>42.71</v>
      </c>
      <c r="F226" s="62">
        <f>42.71*$G$7</f>
        <v>42.71</v>
      </c>
      <c r="G226" s="62">
        <f>F226*D226</f>
        <v>7815.93</v>
      </c>
    </row>
    <row r="227" spans="1:7" s="70" customFormat="1" ht="35.1" customHeight="1" x14ac:dyDescent="0.25">
      <c r="A227" s="59" t="s">
        <v>476</v>
      </c>
      <c r="B227" s="59" t="s">
        <v>477</v>
      </c>
      <c r="C227" s="60" t="s">
        <v>235</v>
      </c>
      <c r="D227" s="61">
        <v>28.8</v>
      </c>
      <c r="E227" s="62">
        <v>57.24</v>
      </c>
      <c r="F227" s="62">
        <f>57.24*$G$7</f>
        <v>57.24</v>
      </c>
      <c r="G227" s="62">
        <f>F227*D227</f>
        <v>1648.5120000000002</v>
      </c>
    </row>
    <row r="228" spans="1:7" ht="15" customHeight="1" x14ac:dyDescent="0.25">
      <c r="A228" s="55" t="s">
        <v>478</v>
      </c>
      <c r="B228" s="55" t="s">
        <v>479</v>
      </c>
      <c r="C228" s="55"/>
      <c r="D228" s="56"/>
      <c r="E228" s="57"/>
      <c r="F228" s="57"/>
      <c r="G228" s="57">
        <f>SUM(G229:G232)</f>
        <v>15888.332</v>
      </c>
    </row>
    <row r="229" spans="1:7" ht="24.95" customHeight="1" x14ac:dyDescent="0.25">
      <c r="A229" s="59" t="s">
        <v>480</v>
      </c>
      <c r="B229" s="59" t="s">
        <v>481</v>
      </c>
      <c r="C229" s="60" t="s">
        <v>232</v>
      </c>
      <c r="D229" s="61">
        <v>531.5</v>
      </c>
      <c r="E229" s="62">
        <v>18.47</v>
      </c>
      <c r="F229" s="62">
        <f>18.47*$G$7</f>
        <v>18.47</v>
      </c>
      <c r="G229" s="62">
        <f>D229*F229</f>
        <v>9816.8050000000003</v>
      </c>
    </row>
    <row r="230" spans="1:7" s="70" customFormat="1" ht="24.95" customHeight="1" x14ac:dyDescent="0.25">
      <c r="A230" s="59" t="s">
        <v>482</v>
      </c>
      <c r="B230" s="59" t="s">
        <v>483</v>
      </c>
      <c r="C230" s="60" t="s">
        <v>235</v>
      </c>
      <c r="D230" s="61">
        <v>8.9</v>
      </c>
      <c r="E230" s="62">
        <v>50.38</v>
      </c>
      <c r="F230" s="62">
        <f>50.38*$G$7</f>
        <v>50.38</v>
      </c>
      <c r="G230" s="62">
        <f>D230*F230</f>
        <v>448.38200000000006</v>
      </c>
    </row>
    <row r="231" spans="1:7" s="70" customFormat="1" ht="30" customHeight="1" x14ac:dyDescent="0.25">
      <c r="A231" s="59" t="s">
        <v>484</v>
      </c>
      <c r="B231" s="59" t="s">
        <v>485</v>
      </c>
      <c r="C231" s="60" t="s">
        <v>232</v>
      </c>
      <c r="D231" s="61">
        <v>18.7</v>
      </c>
      <c r="E231" s="62">
        <v>71.42</v>
      </c>
      <c r="F231" s="62">
        <f>71.42*$G$7</f>
        <v>71.42</v>
      </c>
      <c r="G231" s="62">
        <f>D231*F231</f>
        <v>1335.5540000000001</v>
      </c>
    </row>
    <row r="232" spans="1:7" s="70" customFormat="1" ht="35.1" customHeight="1" x14ac:dyDescent="0.25">
      <c r="A232" s="59" t="s">
        <v>486</v>
      </c>
      <c r="B232" s="59" t="s">
        <v>487</v>
      </c>
      <c r="C232" s="60" t="s">
        <v>232</v>
      </c>
      <c r="D232" s="61">
        <v>80.7</v>
      </c>
      <c r="E232" s="62">
        <v>53.13</v>
      </c>
      <c r="F232" s="62">
        <f>53.13*$G$7</f>
        <v>53.13</v>
      </c>
      <c r="G232" s="62">
        <f>D232*F232</f>
        <v>4287.5910000000003</v>
      </c>
    </row>
    <row r="233" spans="1:7" ht="15" customHeight="1" x14ac:dyDescent="0.25">
      <c r="A233" s="55" t="s">
        <v>488</v>
      </c>
      <c r="B233" s="55" t="s">
        <v>489</v>
      </c>
      <c r="C233" s="55"/>
      <c r="D233" s="56"/>
      <c r="E233" s="57"/>
      <c r="F233" s="57"/>
      <c r="G233" s="57">
        <f>SUM(G234:G236)</f>
        <v>65093.343000000001</v>
      </c>
    </row>
    <row r="234" spans="1:7" ht="24.95" customHeight="1" x14ac:dyDescent="0.25">
      <c r="A234" s="59" t="s">
        <v>490</v>
      </c>
      <c r="B234" s="59" t="s">
        <v>491</v>
      </c>
      <c r="C234" s="60" t="s">
        <v>53</v>
      </c>
      <c r="D234" s="61">
        <v>107.5</v>
      </c>
      <c r="E234" s="62">
        <v>33.020000000000003</v>
      </c>
      <c r="F234" s="62">
        <f>33.02*$G$7</f>
        <v>33.020000000000003</v>
      </c>
      <c r="G234" s="62">
        <f>D234*F234</f>
        <v>3549.6500000000005</v>
      </c>
    </row>
    <row r="235" spans="1:7" s="70" customFormat="1" ht="24.95" customHeight="1" x14ac:dyDescent="0.25">
      <c r="A235" s="59" t="s">
        <v>492</v>
      </c>
      <c r="B235" s="59" t="s">
        <v>493</v>
      </c>
      <c r="C235" s="60" t="s">
        <v>53</v>
      </c>
      <c r="D235" s="61">
        <v>578</v>
      </c>
      <c r="E235" s="62">
        <v>94.64</v>
      </c>
      <c r="F235" s="62">
        <f>94.64*$G$7</f>
        <v>94.64</v>
      </c>
      <c r="G235" s="62">
        <f>D235*F235</f>
        <v>54701.919999999998</v>
      </c>
    </row>
    <row r="236" spans="1:7" s="70" customFormat="1" ht="24.95" customHeight="1" x14ac:dyDescent="0.25">
      <c r="A236" s="59" t="s">
        <v>494</v>
      </c>
      <c r="B236" s="59" t="s">
        <v>495</v>
      </c>
      <c r="C236" s="60" t="s">
        <v>53</v>
      </c>
      <c r="D236" s="61">
        <v>74.7</v>
      </c>
      <c r="E236" s="62">
        <v>91.59</v>
      </c>
      <c r="F236" s="62">
        <f>91.59*$G$7</f>
        <v>91.59</v>
      </c>
      <c r="G236" s="62">
        <f>D236*F236</f>
        <v>6841.7730000000001</v>
      </c>
    </row>
    <row r="237" spans="1:7" ht="15" customHeight="1" x14ac:dyDescent="0.25">
      <c r="A237" s="55" t="s">
        <v>496</v>
      </c>
      <c r="B237" s="55" t="s">
        <v>497</v>
      </c>
      <c r="C237" s="55"/>
      <c r="D237" s="56"/>
      <c r="E237" s="57"/>
      <c r="F237" s="57"/>
      <c r="G237" s="57">
        <f>G238+G242+G246+G252</f>
        <v>69454.596000000005</v>
      </c>
    </row>
    <row r="238" spans="1:7" ht="15" customHeight="1" x14ac:dyDescent="0.25">
      <c r="A238" s="55" t="s">
        <v>498</v>
      </c>
      <c r="B238" s="55" t="s">
        <v>430</v>
      </c>
      <c r="C238" s="55"/>
      <c r="D238" s="56"/>
      <c r="E238" s="57"/>
      <c r="F238" s="57"/>
      <c r="G238" s="57">
        <f>SUM(G239:G241)</f>
        <v>41214.618000000002</v>
      </c>
    </row>
    <row r="239" spans="1:7" ht="24.95" customHeight="1" x14ac:dyDescent="0.25">
      <c r="A239" s="59" t="s">
        <v>499</v>
      </c>
      <c r="B239" s="59" t="s">
        <v>314</v>
      </c>
      <c r="C239" s="60" t="s">
        <v>53</v>
      </c>
      <c r="D239" s="61">
        <v>1470.9</v>
      </c>
      <c r="E239" s="62">
        <v>2.54</v>
      </c>
      <c r="F239" s="62">
        <f>2.54*$G$7</f>
        <v>2.54</v>
      </c>
      <c r="G239" s="62">
        <f>D239*F239</f>
        <v>3736.0860000000002</v>
      </c>
    </row>
    <row r="240" spans="1:7" s="70" customFormat="1" ht="24.95" customHeight="1" x14ac:dyDescent="0.25">
      <c r="A240" s="59" t="s">
        <v>500</v>
      </c>
      <c r="B240" s="59" t="s">
        <v>316</v>
      </c>
      <c r="C240" s="60" t="s">
        <v>53</v>
      </c>
      <c r="D240" s="61">
        <v>1470.9</v>
      </c>
      <c r="E240" s="62">
        <v>13.33</v>
      </c>
      <c r="F240" s="62">
        <f>13.33*$G$7</f>
        <v>13.33</v>
      </c>
      <c r="G240" s="62">
        <f>D240*F240</f>
        <v>19607.097000000002</v>
      </c>
    </row>
    <row r="241" spans="1:7" s="70" customFormat="1" ht="24.95" customHeight="1" x14ac:dyDescent="0.25">
      <c r="A241" s="59" t="s">
        <v>501</v>
      </c>
      <c r="B241" s="59" t="s">
        <v>318</v>
      </c>
      <c r="C241" s="60" t="s">
        <v>53</v>
      </c>
      <c r="D241" s="61">
        <v>1470.9</v>
      </c>
      <c r="E241" s="62">
        <v>12.15</v>
      </c>
      <c r="F241" s="62">
        <f>12.15*$G$7</f>
        <v>12.15</v>
      </c>
      <c r="G241" s="62">
        <f>D241*F241</f>
        <v>17871.435000000001</v>
      </c>
    </row>
    <row r="242" spans="1:7" ht="15" customHeight="1" x14ac:dyDescent="0.25">
      <c r="A242" s="55" t="s">
        <v>502</v>
      </c>
      <c r="B242" s="55" t="s">
        <v>436</v>
      </c>
      <c r="C242" s="55"/>
      <c r="D242" s="56"/>
      <c r="E242" s="57"/>
      <c r="F242" s="57"/>
      <c r="G242" s="57">
        <f>SUM(G243:G245)</f>
        <v>18902.142</v>
      </c>
    </row>
    <row r="243" spans="1:7" ht="24.95" customHeight="1" x14ac:dyDescent="0.25">
      <c r="A243" s="59" t="s">
        <v>503</v>
      </c>
      <c r="B243" s="59" t="s">
        <v>504</v>
      </c>
      <c r="C243" s="60" t="s">
        <v>53</v>
      </c>
      <c r="D243" s="61">
        <v>665.1</v>
      </c>
      <c r="E243" s="62">
        <v>2.94</v>
      </c>
      <c r="F243" s="62">
        <f>2.94*$G$7</f>
        <v>2.94</v>
      </c>
      <c r="G243" s="62">
        <f>D243*F243</f>
        <v>1955.394</v>
      </c>
    </row>
    <row r="244" spans="1:7" s="70" customFormat="1" ht="24.95" customHeight="1" x14ac:dyDescent="0.25">
      <c r="A244" s="59" t="s">
        <v>505</v>
      </c>
      <c r="B244" s="59" t="s">
        <v>316</v>
      </c>
      <c r="C244" s="60" t="s">
        <v>53</v>
      </c>
      <c r="D244" s="61">
        <v>665.1</v>
      </c>
      <c r="E244" s="62">
        <v>13.33</v>
      </c>
      <c r="F244" s="62">
        <f>13.33*$G$7</f>
        <v>13.33</v>
      </c>
      <c r="G244" s="62">
        <f>D244*F244</f>
        <v>8865.7829999999994</v>
      </c>
    </row>
    <row r="245" spans="1:7" s="70" customFormat="1" ht="24.95" customHeight="1" x14ac:dyDescent="0.25">
      <c r="A245" s="59" t="s">
        <v>506</v>
      </c>
      <c r="B245" s="59" t="s">
        <v>318</v>
      </c>
      <c r="C245" s="60" t="s">
        <v>53</v>
      </c>
      <c r="D245" s="61">
        <v>665.1</v>
      </c>
      <c r="E245" s="62">
        <v>12.15</v>
      </c>
      <c r="F245" s="62">
        <f>12.15*$G$7</f>
        <v>12.15</v>
      </c>
      <c r="G245" s="62">
        <f>D245*F245</f>
        <v>8080.9650000000001</v>
      </c>
    </row>
    <row r="246" spans="1:7" ht="15" customHeight="1" x14ac:dyDescent="0.25">
      <c r="A246" s="55" t="s">
        <v>507</v>
      </c>
      <c r="B246" s="55" t="s">
        <v>508</v>
      </c>
      <c r="C246" s="55"/>
      <c r="D246" s="56"/>
      <c r="E246" s="57"/>
      <c r="F246" s="57"/>
      <c r="G246" s="57">
        <f>SUM(G247:G251)</f>
        <v>7012.5740000000005</v>
      </c>
    </row>
    <row r="247" spans="1:7" ht="35.1" customHeight="1" x14ac:dyDescent="0.25">
      <c r="A247" s="59" t="s">
        <v>509</v>
      </c>
      <c r="B247" s="59" t="s">
        <v>510</v>
      </c>
      <c r="C247" s="60" t="s">
        <v>53</v>
      </c>
      <c r="D247" s="61">
        <v>25.4</v>
      </c>
      <c r="E247" s="62">
        <v>4.78</v>
      </c>
      <c r="F247" s="62">
        <f>4.78*$G$7</f>
        <v>4.78</v>
      </c>
      <c r="G247" s="62">
        <f>D247*F247</f>
        <v>121.41200000000001</v>
      </c>
    </row>
    <row r="248" spans="1:7" s="70" customFormat="1" ht="35.1" customHeight="1" x14ac:dyDescent="0.25">
      <c r="A248" s="59" t="s">
        <v>511</v>
      </c>
      <c r="B248" s="59" t="s">
        <v>512</v>
      </c>
      <c r="C248" s="60" t="s">
        <v>53</v>
      </c>
      <c r="D248" s="61">
        <v>25.4</v>
      </c>
      <c r="E248" s="62">
        <v>49.98</v>
      </c>
      <c r="F248" s="62">
        <f>49.98*$G$7</f>
        <v>49.98</v>
      </c>
      <c r="G248" s="62">
        <f>D248*F248</f>
        <v>1269.492</v>
      </c>
    </row>
    <row r="249" spans="1:7" s="70" customFormat="1" ht="20.100000000000001" customHeight="1" x14ac:dyDescent="0.25">
      <c r="A249" s="59" t="s">
        <v>513</v>
      </c>
      <c r="B249" s="59" t="s">
        <v>514</v>
      </c>
      <c r="C249" s="60" t="s">
        <v>53</v>
      </c>
      <c r="D249" s="61">
        <v>132.9</v>
      </c>
      <c r="E249" s="62">
        <v>2.94</v>
      </c>
      <c r="F249" s="62">
        <f>2.94*$G$7</f>
        <v>2.94</v>
      </c>
      <c r="G249" s="62">
        <f>D249*F249</f>
        <v>390.726</v>
      </c>
    </row>
    <row r="250" spans="1:7" s="70" customFormat="1" ht="24.95" customHeight="1" x14ac:dyDescent="0.25">
      <c r="A250" s="59" t="s">
        <v>515</v>
      </c>
      <c r="B250" s="59" t="s">
        <v>516</v>
      </c>
      <c r="C250" s="60" t="s">
        <v>53</v>
      </c>
      <c r="D250" s="61">
        <v>132.9</v>
      </c>
      <c r="E250" s="62">
        <v>25.33</v>
      </c>
      <c r="F250" s="62">
        <f>25.33*$G$7</f>
        <v>25.33</v>
      </c>
      <c r="G250" s="62">
        <f>D250*F250</f>
        <v>3366.357</v>
      </c>
    </row>
    <row r="251" spans="1:7" s="70" customFormat="1" ht="24.95" customHeight="1" x14ac:dyDescent="0.25">
      <c r="A251" s="59" t="s">
        <v>517</v>
      </c>
      <c r="B251" s="59" t="s">
        <v>518</v>
      </c>
      <c r="C251" s="60" t="s">
        <v>53</v>
      </c>
      <c r="D251" s="61">
        <v>132.9</v>
      </c>
      <c r="E251" s="62">
        <v>14.03</v>
      </c>
      <c r="F251" s="62">
        <f>14.03*$G$7</f>
        <v>14.03</v>
      </c>
      <c r="G251" s="62">
        <f>D251*F251</f>
        <v>1864.587</v>
      </c>
    </row>
    <row r="252" spans="1:7" ht="15" customHeight="1" x14ac:dyDescent="0.25">
      <c r="A252" s="55" t="s">
        <v>519</v>
      </c>
      <c r="B252" s="55" t="s">
        <v>520</v>
      </c>
      <c r="C252" s="55"/>
      <c r="D252" s="56"/>
      <c r="E252" s="57"/>
      <c r="F252" s="57"/>
      <c r="G252" s="57">
        <f>SUM(G253:G255)</f>
        <v>2325.2620000000002</v>
      </c>
    </row>
    <row r="253" spans="1:7" ht="15" customHeight="1" x14ac:dyDescent="0.25">
      <c r="A253" s="59" t="s">
        <v>521</v>
      </c>
      <c r="B253" s="59" t="s">
        <v>522</v>
      </c>
      <c r="C253" s="60" t="s">
        <v>53</v>
      </c>
      <c r="D253" s="61">
        <v>30.2</v>
      </c>
      <c r="E253" s="62">
        <v>24.37</v>
      </c>
      <c r="F253" s="62">
        <f>24.37*$G$7</f>
        <v>24.37</v>
      </c>
      <c r="G253" s="62">
        <f>D253*F253</f>
        <v>735.97400000000005</v>
      </c>
    </row>
    <row r="254" spans="1:7" s="70" customFormat="1" ht="15" customHeight="1" x14ac:dyDescent="0.25">
      <c r="A254" s="59" t="s">
        <v>523</v>
      </c>
      <c r="B254" s="59" t="s">
        <v>524</v>
      </c>
      <c r="C254" s="60" t="s">
        <v>53</v>
      </c>
      <c r="D254" s="61">
        <v>37.200000000000003</v>
      </c>
      <c r="E254" s="62">
        <v>26.54</v>
      </c>
      <c r="F254" s="62">
        <f>26.54*$G$7</f>
        <v>26.54</v>
      </c>
      <c r="G254" s="62">
        <f>D254*F254</f>
        <v>987.28800000000001</v>
      </c>
    </row>
    <row r="255" spans="1:7" s="70" customFormat="1" ht="15" customHeight="1" x14ac:dyDescent="0.25">
      <c r="A255" s="59" t="s">
        <v>525</v>
      </c>
      <c r="B255" s="59" t="s">
        <v>526</v>
      </c>
      <c r="C255" s="60" t="s">
        <v>53</v>
      </c>
      <c r="D255" s="61">
        <v>20</v>
      </c>
      <c r="E255" s="62">
        <v>30.1</v>
      </c>
      <c r="F255" s="62">
        <f>30.1*$G$7</f>
        <v>30.1</v>
      </c>
      <c r="G255" s="62">
        <f>D255*F255</f>
        <v>602</v>
      </c>
    </row>
    <row r="256" spans="1:7" ht="15" customHeight="1" x14ac:dyDescent="0.25">
      <c r="A256" s="55" t="s">
        <v>527</v>
      </c>
      <c r="B256" s="55" t="s">
        <v>528</v>
      </c>
      <c r="C256" s="55"/>
      <c r="D256" s="56"/>
      <c r="E256" s="57"/>
      <c r="F256" s="57"/>
      <c r="G256" s="57">
        <f>SUM(G257:G262)</f>
        <v>71390.590700000001</v>
      </c>
    </row>
    <row r="257" spans="1:7" ht="20.100000000000001" customHeight="1" x14ac:dyDescent="0.25">
      <c r="A257" s="59" t="s">
        <v>529</v>
      </c>
      <c r="B257" s="59" t="s">
        <v>530</v>
      </c>
      <c r="C257" s="60" t="s">
        <v>53</v>
      </c>
      <c r="D257" s="61">
        <v>79.34</v>
      </c>
      <c r="E257" s="62">
        <v>384.72</v>
      </c>
      <c r="F257" s="62">
        <f>384.72*$G$7</f>
        <v>384.72</v>
      </c>
      <c r="G257" s="62">
        <f t="shared" ref="G257:G262" si="13">D257*F257</f>
        <v>30523.684800000003</v>
      </c>
    </row>
    <row r="258" spans="1:7" s="70" customFormat="1" ht="24.95" customHeight="1" x14ac:dyDescent="0.25">
      <c r="A258" s="59" t="s">
        <v>531</v>
      </c>
      <c r="B258" s="59" t="s">
        <v>532</v>
      </c>
      <c r="C258" s="60" t="s">
        <v>62</v>
      </c>
      <c r="D258" s="61">
        <v>2</v>
      </c>
      <c r="E258" s="62">
        <v>308.14</v>
      </c>
      <c r="F258" s="62">
        <f>308.14*$G$7</f>
        <v>308.14</v>
      </c>
      <c r="G258" s="62">
        <f t="shared" si="13"/>
        <v>616.28</v>
      </c>
    </row>
    <row r="259" spans="1:7" s="70" customFormat="1" ht="24.95" customHeight="1" x14ac:dyDescent="0.25">
      <c r="A259" s="59" t="s">
        <v>533</v>
      </c>
      <c r="B259" s="59" t="s">
        <v>534</v>
      </c>
      <c r="C259" s="60" t="s">
        <v>53</v>
      </c>
      <c r="D259" s="61">
        <v>100.91</v>
      </c>
      <c r="E259" s="62">
        <v>238.13</v>
      </c>
      <c r="F259" s="62">
        <f>238.13*$G$7</f>
        <v>238.13</v>
      </c>
      <c r="G259" s="62">
        <f t="shared" si="13"/>
        <v>24029.6983</v>
      </c>
    </row>
    <row r="260" spans="1:7" s="70" customFormat="1" ht="50.1" customHeight="1" x14ac:dyDescent="0.25">
      <c r="A260" s="59" t="s">
        <v>535</v>
      </c>
      <c r="B260" s="59" t="s">
        <v>536</v>
      </c>
      <c r="C260" s="60" t="s">
        <v>235</v>
      </c>
      <c r="D260" s="61">
        <v>11.2</v>
      </c>
      <c r="E260" s="62">
        <v>1177.1300000000001</v>
      </c>
      <c r="F260" s="62">
        <f>1177.13*$G$7</f>
        <v>1177.1300000000001</v>
      </c>
      <c r="G260" s="62">
        <f t="shared" si="13"/>
        <v>13183.856</v>
      </c>
    </row>
    <row r="261" spans="1:7" s="70" customFormat="1" ht="20.100000000000001" customHeight="1" x14ac:dyDescent="0.25">
      <c r="A261" s="59" t="s">
        <v>537</v>
      </c>
      <c r="B261" s="59" t="s">
        <v>538</v>
      </c>
      <c r="C261" s="60" t="s">
        <v>232</v>
      </c>
      <c r="D261" s="61">
        <v>8.1</v>
      </c>
      <c r="E261" s="62">
        <v>299.68</v>
      </c>
      <c r="F261" s="62">
        <f>299.68*$G$7</f>
        <v>299.68</v>
      </c>
      <c r="G261" s="62">
        <f t="shared" si="13"/>
        <v>2427.4079999999999</v>
      </c>
    </row>
    <row r="262" spans="1:7" s="70" customFormat="1" ht="20.100000000000001" customHeight="1" x14ac:dyDescent="0.25">
      <c r="A262" s="59" t="s">
        <v>539</v>
      </c>
      <c r="B262" s="59" t="s">
        <v>540</v>
      </c>
      <c r="C262" s="60" t="s">
        <v>53</v>
      </c>
      <c r="D262" s="61">
        <v>2.52</v>
      </c>
      <c r="E262" s="62">
        <v>241.93</v>
      </c>
      <c r="F262" s="62">
        <f>241.93*$G$7</f>
        <v>241.93</v>
      </c>
      <c r="G262" s="62">
        <f t="shared" si="13"/>
        <v>609.66359999999997</v>
      </c>
    </row>
    <row r="263" spans="1:7" ht="15" customHeight="1" x14ac:dyDescent="0.25">
      <c r="A263" s="55" t="s">
        <v>541</v>
      </c>
      <c r="B263" s="55" t="s">
        <v>542</v>
      </c>
      <c r="C263" s="55"/>
      <c r="D263" s="56"/>
      <c r="E263" s="57"/>
      <c r="F263" s="57"/>
      <c r="G263" s="57">
        <f>G264+G275+G284+G286+G337+G359+G362+G365+G375+G378+G388+G394+G401</f>
        <v>290658.36500000005</v>
      </c>
    </row>
    <row r="264" spans="1:7" ht="15" customHeight="1" x14ac:dyDescent="0.25">
      <c r="A264" s="55" t="s">
        <v>543</v>
      </c>
      <c r="B264" s="55" t="s">
        <v>544</v>
      </c>
      <c r="C264" s="55"/>
      <c r="D264" s="56"/>
      <c r="E264" s="57"/>
      <c r="F264" s="57"/>
      <c r="G264" s="57">
        <f>SUM(G265:G274)</f>
        <v>19314.210000000003</v>
      </c>
    </row>
    <row r="265" spans="1:7" ht="15" customHeight="1" x14ac:dyDescent="0.25">
      <c r="A265" s="59" t="s">
        <v>545</v>
      </c>
      <c r="B265" s="59" t="s">
        <v>546</v>
      </c>
      <c r="C265" s="60" t="s">
        <v>62</v>
      </c>
      <c r="D265" s="61">
        <v>1</v>
      </c>
      <c r="E265" s="62">
        <v>2427.58</v>
      </c>
      <c r="F265" s="62">
        <f>2427.58*$G$7</f>
        <v>2427.58</v>
      </c>
      <c r="G265" s="62">
        <f t="shared" ref="G265:G274" si="14">D265*F265</f>
        <v>2427.58</v>
      </c>
    </row>
    <row r="266" spans="1:7" s="70" customFormat="1" ht="15" customHeight="1" x14ac:dyDescent="0.25">
      <c r="A266" s="59" t="s">
        <v>547</v>
      </c>
      <c r="B266" s="59" t="s">
        <v>548</v>
      </c>
      <c r="C266" s="60" t="s">
        <v>62</v>
      </c>
      <c r="D266" s="61">
        <v>1</v>
      </c>
      <c r="E266" s="62">
        <v>2379.9299999999998</v>
      </c>
      <c r="F266" s="62">
        <f>2379.93*$G$7</f>
        <v>2379.9299999999998</v>
      </c>
      <c r="G266" s="62">
        <f t="shared" si="14"/>
        <v>2379.9299999999998</v>
      </c>
    </row>
    <row r="267" spans="1:7" s="70" customFormat="1" ht="15" customHeight="1" x14ac:dyDescent="0.25">
      <c r="A267" s="59" t="s">
        <v>549</v>
      </c>
      <c r="B267" s="59" t="s">
        <v>550</v>
      </c>
      <c r="C267" s="60" t="s">
        <v>62</v>
      </c>
      <c r="D267" s="61">
        <v>1</v>
      </c>
      <c r="E267" s="62">
        <v>1066.5899999999999</v>
      </c>
      <c r="F267" s="62">
        <f>1066.59*$G$7</f>
        <v>1066.5899999999999</v>
      </c>
      <c r="G267" s="62">
        <f t="shared" si="14"/>
        <v>1066.5899999999999</v>
      </c>
    </row>
    <row r="268" spans="1:7" s="70" customFormat="1" ht="15" customHeight="1" x14ac:dyDescent="0.25">
      <c r="A268" s="59" t="s">
        <v>551</v>
      </c>
      <c r="B268" s="59" t="s">
        <v>552</v>
      </c>
      <c r="C268" s="60" t="s">
        <v>62</v>
      </c>
      <c r="D268" s="61">
        <v>1</v>
      </c>
      <c r="E268" s="62">
        <v>2180.34</v>
      </c>
      <c r="F268" s="62">
        <f>2180.34*$G$7</f>
        <v>2180.34</v>
      </c>
      <c r="G268" s="62">
        <f t="shared" si="14"/>
        <v>2180.34</v>
      </c>
    </row>
    <row r="269" spans="1:7" s="70" customFormat="1" ht="15" customHeight="1" x14ac:dyDescent="0.25">
      <c r="A269" s="59" t="s">
        <v>553</v>
      </c>
      <c r="B269" s="59" t="s">
        <v>554</v>
      </c>
      <c r="C269" s="60" t="s">
        <v>62</v>
      </c>
      <c r="D269" s="61">
        <v>1</v>
      </c>
      <c r="E269" s="62">
        <v>1169.27</v>
      </c>
      <c r="F269" s="62">
        <f>1169.27*$G$7</f>
        <v>1169.27</v>
      </c>
      <c r="G269" s="62">
        <f t="shared" si="14"/>
        <v>1169.27</v>
      </c>
    </row>
    <row r="270" spans="1:7" s="70" customFormat="1" ht="15" customHeight="1" x14ac:dyDescent="0.25">
      <c r="A270" s="59" t="s">
        <v>555</v>
      </c>
      <c r="B270" s="59" t="s">
        <v>556</v>
      </c>
      <c r="C270" s="60" t="s">
        <v>62</v>
      </c>
      <c r="D270" s="61">
        <v>1</v>
      </c>
      <c r="E270" s="62">
        <v>3847.01</v>
      </c>
      <c r="F270" s="62">
        <f>3847.01*$G$7</f>
        <v>3847.01</v>
      </c>
      <c r="G270" s="62">
        <f t="shared" si="14"/>
        <v>3847.01</v>
      </c>
    </row>
    <row r="271" spans="1:7" s="70" customFormat="1" ht="15" customHeight="1" x14ac:dyDescent="0.25">
      <c r="A271" s="59" t="s">
        <v>557</v>
      </c>
      <c r="B271" s="59" t="s">
        <v>558</v>
      </c>
      <c r="C271" s="60" t="s">
        <v>62</v>
      </c>
      <c r="D271" s="61">
        <v>1</v>
      </c>
      <c r="E271" s="62">
        <v>1136.54</v>
      </c>
      <c r="F271" s="62">
        <f>1136.54*$G$7</f>
        <v>1136.54</v>
      </c>
      <c r="G271" s="62">
        <f t="shared" si="14"/>
        <v>1136.54</v>
      </c>
    </row>
    <row r="272" spans="1:7" s="70" customFormat="1" ht="15" customHeight="1" x14ac:dyDescent="0.25">
      <c r="A272" s="59" t="s">
        <v>559</v>
      </c>
      <c r="B272" s="59" t="s">
        <v>560</v>
      </c>
      <c r="C272" s="60" t="s">
        <v>62</v>
      </c>
      <c r="D272" s="61">
        <v>1</v>
      </c>
      <c r="E272" s="62">
        <v>2445.44</v>
      </c>
      <c r="F272" s="62">
        <f>2445.44*$G$7</f>
        <v>2445.44</v>
      </c>
      <c r="G272" s="62">
        <f t="shared" si="14"/>
        <v>2445.44</v>
      </c>
    </row>
    <row r="273" spans="1:7" s="70" customFormat="1" ht="15" customHeight="1" x14ac:dyDescent="0.25">
      <c r="A273" s="59" t="s">
        <v>561</v>
      </c>
      <c r="B273" s="59" t="s">
        <v>562</v>
      </c>
      <c r="C273" s="60" t="s">
        <v>62</v>
      </c>
      <c r="D273" s="61">
        <v>1</v>
      </c>
      <c r="E273" s="62">
        <v>1663.97</v>
      </c>
      <c r="F273" s="62">
        <f>1663.97*$G$7</f>
        <v>1663.97</v>
      </c>
      <c r="G273" s="62">
        <f t="shared" si="14"/>
        <v>1663.97</v>
      </c>
    </row>
    <row r="274" spans="1:7" s="70" customFormat="1" ht="15" customHeight="1" x14ac:dyDescent="0.25">
      <c r="A274" s="59" t="s">
        <v>563</v>
      </c>
      <c r="B274" s="59" t="s">
        <v>564</v>
      </c>
      <c r="C274" s="60" t="s">
        <v>62</v>
      </c>
      <c r="D274" s="61">
        <v>1</v>
      </c>
      <c r="E274" s="62">
        <v>997.54</v>
      </c>
      <c r="F274" s="62">
        <f>997.54*$G$7</f>
        <v>997.54</v>
      </c>
      <c r="G274" s="62">
        <f t="shared" si="14"/>
        <v>997.54</v>
      </c>
    </row>
    <row r="275" spans="1:7" ht="15" customHeight="1" x14ac:dyDescent="0.25">
      <c r="A275" s="55" t="s">
        <v>565</v>
      </c>
      <c r="B275" s="55" t="s">
        <v>566</v>
      </c>
      <c r="C275" s="55"/>
      <c r="D275" s="56"/>
      <c r="E275" s="57"/>
      <c r="F275" s="57"/>
      <c r="G275" s="57">
        <f>SUM(G276:G283)</f>
        <v>69200.59</v>
      </c>
    </row>
    <row r="276" spans="1:7" ht="35.1" customHeight="1" x14ac:dyDescent="0.25">
      <c r="A276" s="59" t="s">
        <v>567</v>
      </c>
      <c r="B276" s="59" t="s">
        <v>568</v>
      </c>
      <c r="C276" s="60" t="s">
        <v>232</v>
      </c>
      <c r="D276" s="61">
        <v>268</v>
      </c>
      <c r="E276" s="62">
        <v>6.88</v>
      </c>
      <c r="F276" s="62">
        <f>6.88*$G$7</f>
        <v>6.88</v>
      </c>
      <c r="G276" s="62">
        <f t="shared" ref="G276:G283" si="15">D276*F276</f>
        <v>1843.84</v>
      </c>
    </row>
    <row r="277" spans="1:7" s="70" customFormat="1" ht="35.1" customHeight="1" x14ac:dyDescent="0.25">
      <c r="A277" s="59" t="s">
        <v>569</v>
      </c>
      <c r="B277" s="59" t="s">
        <v>570</v>
      </c>
      <c r="C277" s="60" t="s">
        <v>232</v>
      </c>
      <c r="D277" s="61">
        <v>8</v>
      </c>
      <c r="E277" s="62">
        <v>22.67</v>
      </c>
      <c r="F277" s="62">
        <f>22.67*$G$7</f>
        <v>22.67</v>
      </c>
      <c r="G277" s="62">
        <f t="shared" si="15"/>
        <v>181.36</v>
      </c>
    </row>
    <row r="278" spans="1:7" s="70" customFormat="1" ht="35.1" customHeight="1" x14ac:dyDescent="0.25">
      <c r="A278" s="59" t="s">
        <v>571</v>
      </c>
      <c r="B278" s="59" t="s">
        <v>572</v>
      </c>
      <c r="C278" s="60" t="s">
        <v>232</v>
      </c>
      <c r="D278" s="61">
        <v>332</v>
      </c>
      <c r="E278" s="62">
        <v>72.64</v>
      </c>
      <c r="F278" s="62">
        <f>72.64*$G$7</f>
        <v>72.64</v>
      </c>
      <c r="G278" s="62">
        <f t="shared" si="15"/>
        <v>24116.48</v>
      </c>
    </row>
    <row r="279" spans="1:7" s="70" customFormat="1" ht="35.1" customHeight="1" x14ac:dyDescent="0.25">
      <c r="A279" s="59" t="s">
        <v>573</v>
      </c>
      <c r="B279" s="59" t="s">
        <v>574</v>
      </c>
      <c r="C279" s="60" t="s">
        <v>232</v>
      </c>
      <c r="D279" s="61">
        <v>11940</v>
      </c>
      <c r="E279" s="62">
        <v>2.96</v>
      </c>
      <c r="F279" s="62">
        <f>2.96*$G$7</f>
        <v>2.96</v>
      </c>
      <c r="G279" s="62">
        <f t="shared" si="15"/>
        <v>35342.400000000001</v>
      </c>
    </row>
    <row r="280" spans="1:7" s="70" customFormat="1" ht="35.1" customHeight="1" x14ac:dyDescent="0.25">
      <c r="A280" s="59" t="s">
        <v>575</v>
      </c>
      <c r="B280" s="59" t="s">
        <v>576</v>
      </c>
      <c r="C280" s="60" t="s">
        <v>232</v>
      </c>
      <c r="D280" s="61">
        <v>794</v>
      </c>
      <c r="E280" s="62">
        <v>4.62</v>
      </c>
      <c r="F280" s="62">
        <f>4.62*$G$7</f>
        <v>4.62</v>
      </c>
      <c r="G280" s="62">
        <f t="shared" si="15"/>
        <v>3668.28</v>
      </c>
    </row>
    <row r="281" spans="1:7" s="70" customFormat="1" ht="35.1" customHeight="1" x14ac:dyDescent="0.25">
      <c r="A281" s="59" t="s">
        <v>577</v>
      </c>
      <c r="B281" s="59" t="s">
        <v>578</v>
      </c>
      <c r="C281" s="60" t="s">
        <v>232</v>
      </c>
      <c r="D281" s="61">
        <v>67</v>
      </c>
      <c r="E281" s="62">
        <v>6.27</v>
      </c>
      <c r="F281" s="62">
        <f>6.27*$G$7</f>
        <v>6.27</v>
      </c>
      <c r="G281" s="62">
        <f t="shared" si="15"/>
        <v>420.09</v>
      </c>
    </row>
    <row r="282" spans="1:7" s="70" customFormat="1" ht="35.1" customHeight="1" x14ac:dyDescent="0.25">
      <c r="A282" s="59" t="s">
        <v>579</v>
      </c>
      <c r="B282" s="59" t="s">
        <v>580</v>
      </c>
      <c r="C282" s="60" t="s">
        <v>232</v>
      </c>
      <c r="D282" s="61">
        <v>2</v>
      </c>
      <c r="E282" s="62">
        <v>15.46</v>
      </c>
      <c r="F282" s="62">
        <f>15.46*$G$7</f>
        <v>15.46</v>
      </c>
      <c r="G282" s="62">
        <f t="shared" si="15"/>
        <v>30.92</v>
      </c>
    </row>
    <row r="283" spans="1:7" s="70" customFormat="1" ht="35.1" customHeight="1" x14ac:dyDescent="0.25">
      <c r="A283" s="59" t="s">
        <v>581</v>
      </c>
      <c r="B283" s="59" t="s">
        <v>582</v>
      </c>
      <c r="C283" s="60" t="s">
        <v>232</v>
      </c>
      <c r="D283" s="61">
        <v>83</v>
      </c>
      <c r="E283" s="62">
        <v>43.34</v>
      </c>
      <c r="F283" s="62">
        <f>43.34*$G$7</f>
        <v>43.34</v>
      </c>
      <c r="G283" s="62">
        <f t="shared" si="15"/>
        <v>3597.2200000000003</v>
      </c>
    </row>
    <row r="284" spans="1:7" ht="15" customHeight="1" x14ac:dyDescent="0.25">
      <c r="A284" s="55" t="s">
        <v>583</v>
      </c>
      <c r="B284" s="55" t="s">
        <v>584</v>
      </c>
      <c r="C284" s="55"/>
      <c r="D284" s="56"/>
      <c r="E284" s="57"/>
      <c r="F284" s="57"/>
      <c r="G284" s="57">
        <f>SUM(G285)</f>
        <v>37930.89</v>
      </c>
    </row>
    <row r="285" spans="1:7" ht="24.95" customHeight="1" x14ac:dyDescent="0.25">
      <c r="A285" s="59" t="s">
        <v>585</v>
      </c>
      <c r="B285" s="59" t="s">
        <v>586</v>
      </c>
      <c r="C285" s="60" t="s">
        <v>587</v>
      </c>
      <c r="D285" s="61">
        <v>1</v>
      </c>
      <c r="E285" s="62">
        <v>37930.89</v>
      </c>
      <c r="F285" s="62">
        <f>37930.89*$G$7</f>
        <v>37930.89</v>
      </c>
      <c r="G285" s="62">
        <f>D285*F285</f>
        <v>37930.89</v>
      </c>
    </row>
    <row r="286" spans="1:7" ht="15" customHeight="1" x14ac:dyDescent="0.25">
      <c r="A286" s="55" t="s">
        <v>588</v>
      </c>
      <c r="B286" s="55" t="s">
        <v>589</v>
      </c>
      <c r="C286" s="55"/>
      <c r="D286" s="56"/>
      <c r="E286" s="57"/>
      <c r="F286" s="57"/>
      <c r="G286" s="57">
        <f>SUM(G287:G336)</f>
        <v>36422.722000000009</v>
      </c>
    </row>
    <row r="287" spans="1:7" ht="24.95" customHeight="1" x14ac:dyDescent="0.25">
      <c r="A287" s="59" t="s">
        <v>590</v>
      </c>
      <c r="B287" s="59" t="s">
        <v>591</v>
      </c>
      <c r="C287" s="60" t="s">
        <v>48</v>
      </c>
      <c r="D287" s="61">
        <v>1</v>
      </c>
      <c r="E287" s="62">
        <v>17264.05</v>
      </c>
      <c r="F287" s="62">
        <f>17264.05*$G$7</f>
        <v>17264.05</v>
      </c>
      <c r="G287" s="62">
        <f t="shared" ref="G287:G318" si="16">D287*F287</f>
        <v>17264.05</v>
      </c>
    </row>
    <row r="288" spans="1:7" s="70" customFormat="1" ht="20.100000000000001" customHeight="1" x14ac:dyDescent="0.25">
      <c r="A288" s="59" t="s">
        <v>592</v>
      </c>
      <c r="B288" s="59" t="s">
        <v>593</v>
      </c>
      <c r="C288" s="60" t="s">
        <v>62</v>
      </c>
      <c r="D288" s="61">
        <v>3</v>
      </c>
      <c r="E288" s="62">
        <v>16.649999999999999</v>
      </c>
      <c r="F288" s="62">
        <f>16.65*$G$7</f>
        <v>16.649999999999999</v>
      </c>
      <c r="G288" s="62">
        <f t="shared" si="16"/>
        <v>49.949999999999996</v>
      </c>
    </row>
    <row r="289" spans="1:7" s="70" customFormat="1" ht="20.100000000000001" customHeight="1" x14ac:dyDescent="0.25">
      <c r="A289" s="59" t="s">
        <v>594</v>
      </c>
      <c r="B289" s="59" t="s">
        <v>595</v>
      </c>
      <c r="C289" s="60" t="s">
        <v>48</v>
      </c>
      <c r="D289" s="61">
        <v>3</v>
      </c>
      <c r="E289" s="62">
        <v>525.11</v>
      </c>
      <c r="F289" s="62">
        <f>525.11*$G$7</f>
        <v>525.11</v>
      </c>
      <c r="G289" s="62">
        <f t="shared" si="16"/>
        <v>1575.33</v>
      </c>
    </row>
    <row r="290" spans="1:7" s="70" customFormat="1" ht="24.95" customHeight="1" x14ac:dyDescent="0.25">
      <c r="A290" s="59" t="s">
        <v>596</v>
      </c>
      <c r="B290" s="59" t="s">
        <v>597</v>
      </c>
      <c r="C290" s="60" t="s">
        <v>48</v>
      </c>
      <c r="D290" s="61">
        <v>3</v>
      </c>
      <c r="E290" s="62">
        <v>134.33000000000001</v>
      </c>
      <c r="F290" s="62">
        <f>134.33*$G$7</f>
        <v>134.33000000000001</v>
      </c>
      <c r="G290" s="62">
        <f t="shared" si="16"/>
        <v>402.99</v>
      </c>
    </row>
    <row r="291" spans="1:7" s="70" customFormat="1" ht="24.95" customHeight="1" x14ac:dyDescent="0.25">
      <c r="A291" s="59" t="s">
        <v>598</v>
      </c>
      <c r="B291" s="59" t="s">
        <v>599</v>
      </c>
      <c r="C291" s="60" t="s">
        <v>48</v>
      </c>
      <c r="D291" s="61">
        <v>3</v>
      </c>
      <c r="E291" s="62">
        <v>10.97</v>
      </c>
      <c r="F291" s="62">
        <f>10.97*$G$7</f>
        <v>10.97</v>
      </c>
      <c r="G291" s="62">
        <f t="shared" si="16"/>
        <v>32.910000000000004</v>
      </c>
    </row>
    <row r="292" spans="1:7" s="70" customFormat="1" ht="20.100000000000001" customHeight="1" x14ac:dyDescent="0.25">
      <c r="A292" s="59" t="s">
        <v>600</v>
      </c>
      <c r="B292" s="59" t="s">
        <v>601</v>
      </c>
      <c r="C292" s="60" t="s">
        <v>62</v>
      </c>
      <c r="D292" s="61">
        <v>3</v>
      </c>
      <c r="E292" s="62">
        <v>15.63</v>
      </c>
      <c r="F292" s="62">
        <f>15.63*$G$7</f>
        <v>15.63</v>
      </c>
      <c r="G292" s="62">
        <f t="shared" si="16"/>
        <v>46.89</v>
      </c>
    </row>
    <row r="293" spans="1:7" s="70" customFormat="1" ht="20.100000000000001" customHeight="1" x14ac:dyDescent="0.25">
      <c r="A293" s="59" t="s">
        <v>602</v>
      </c>
      <c r="B293" s="59" t="s">
        <v>603</v>
      </c>
      <c r="C293" s="60" t="s">
        <v>62</v>
      </c>
      <c r="D293" s="61">
        <v>3</v>
      </c>
      <c r="E293" s="62">
        <v>15.63</v>
      </c>
      <c r="F293" s="62">
        <f>15.63*$G$7</f>
        <v>15.63</v>
      </c>
      <c r="G293" s="62">
        <f t="shared" si="16"/>
        <v>46.89</v>
      </c>
    </row>
    <row r="294" spans="1:7" s="70" customFormat="1" ht="24.95" customHeight="1" x14ac:dyDescent="0.25">
      <c r="A294" s="59" t="s">
        <v>604</v>
      </c>
      <c r="B294" s="59" t="s">
        <v>605</v>
      </c>
      <c r="C294" s="60" t="s">
        <v>48</v>
      </c>
      <c r="D294" s="61">
        <v>3</v>
      </c>
      <c r="E294" s="62">
        <v>11.67</v>
      </c>
      <c r="F294" s="62">
        <f>11.67*$G$7</f>
        <v>11.67</v>
      </c>
      <c r="G294" s="62">
        <f t="shared" si="16"/>
        <v>35.01</v>
      </c>
    </row>
    <row r="295" spans="1:7" s="70" customFormat="1" ht="20.100000000000001" customHeight="1" x14ac:dyDescent="0.25">
      <c r="A295" s="59" t="s">
        <v>606</v>
      </c>
      <c r="B295" s="59" t="s">
        <v>607</v>
      </c>
      <c r="C295" s="60" t="s">
        <v>156</v>
      </c>
      <c r="D295" s="61">
        <v>2</v>
      </c>
      <c r="E295" s="62">
        <v>15.28</v>
      </c>
      <c r="F295" s="62">
        <f>15.28*$G$7</f>
        <v>15.28</v>
      </c>
      <c r="G295" s="62">
        <f t="shared" si="16"/>
        <v>30.56</v>
      </c>
    </row>
    <row r="296" spans="1:7" s="70" customFormat="1" ht="24.95" customHeight="1" x14ac:dyDescent="0.25">
      <c r="A296" s="59" t="s">
        <v>608</v>
      </c>
      <c r="B296" s="59" t="s">
        <v>609</v>
      </c>
      <c r="C296" s="60" t="s">
        <v>232</v>
      </c>
      <c r="D296" s="61">
        <v>8.9</v>
      </c>
      <c r="E296" s="62">
        <v>43.69</v>
      </c>
      <c r="F296" s="62">
        <f>43.69*$G$7</f>
        <v>43.69</v>
      </c>
      <c r="G296" s="62">
        <f t="shared" si="16"/>
        <v>388.84100000000001</v>
      </c>
    </row>
    <row r="297" spans="1:7" s="70" customFormat="1" ht="24.95" customHeight="1" x14ac:dyDescent="0.25">
      <c r="A297" s="59" t="s">
        <v>610</v>
      </c>
      <c r="B297" s="59" t="s">
        <v>611</v>
      </c>
      <c r="C297" s="60" t="s">
        <v>48</v>
      </c>
      <c r="D297" s="61">
        <v>3</v>
      </c>
      <c r="E297" s="62">
        <v>68.05</v>
      </c>
      <c r="F297" s="62">
        <f>68.05*$G$7</f>
        <v>68.05</v>
      </c>
      <c r="G297" s="62">
        <f t="shared" si="16"/>
        <v>204.14999999999998</v>
      </c>
    </row>
    <row r="298" spans="1:7" s="70" customFormat="1" ht="24.95" customHeight="1" x14ac:dyDescent="0.25">
      <c r="A298" s="59" t="s">
        <v>612</v>
      </c>
      <c r="B298" s="59" t="s">
        <v>613</v>
      </c>
      <c r="C298" s="60" t="s">
        <v>48</v>
      </c>
      <c r="D298" s="61">
        <v>2</v>
      </c>
      <c r="E298" s="62">
        <v>41.72</v>
      </c>
      <c r="F298" s="62">
        <f>41.72*$G$7</f>
        <v>41.72</v>
      </c>
      <c r="G298" s="62">
        <f t="shared" si="16"/>
        <v>83.44</v>
      </c>
    </row>
    <row r="299" spans="1:7" s="70" customFormat="1" ht="24.95" customHeight="1" x14ac:dyDescent="0.25">
      <c r="A299" s="59" t="s">
        <v>614</v>
      </c>
      <c r="B299" s="59" t="s">
        <v>615</v>
      </c>
      <c r="C299" s="60" t="s">
        <v>232</v>
      </c>
      <c r="D299" s="61">
        <v>13</v>
      </c>
      <c r="E299" s="62">
        <v>11.11</v>
      </c>
      <c r="F299" s="62">
        <f>11.11*$G$7</f>
        <v>11.11</v>
      </c>
      <c r="G299" s="62">
        <f t="shared" si="16"/>
        <v>144.43</v>
      </c>
    </row>
    <row r="300" spans="1:7" s="70" customFormat="1" ht="20.100000000000001" customHeight="1" x14ac:dyDescent="0.25">
      <c r="A300" s="59" t="s">
        <v>616</v>
      </c>
      <c r="B300" s="59" t="s">
        <v>617</v>
      </c>
      <c r="C300" s="60" t="s">
        <v>618</v>
      </c>
      <c r="D300" s="61">
        <v>1</v>
      </c>
      <c r="E300" s="62">
        <v>35.340000000000003</v>
      </c>
      <c r="F300" s="62">
        <f>35.34*$G$7</f>
        <v>35.340000000000003</v>
      </c>
      <c r="G300" s="62">
        <f t="shared" si="16"/>
        <v>35.340000000000003</v>
      </c>
    </row>
    <row r="301" spans="1:7" s="70" customFormat="1" ht="20.100000000000001" customHeight="1" x14ac:dyDescent="0.25">
      <c r="A301" s="59" t="s">
        <v>619</v>
      </c>
      <c r="B301" s="59" t="s">
        <v>620</v>
      </c>
      <c r="C301" s="60" t="s">
        <v>48</v>
      </c>
      <c r="D301" s="61">
        <v>4</v>
      </c>
      <c r="E301" s="62">
        <v>61.56</v>
      </c>
      <c r="F301" s="62">
        <f>61.56*$G$7</f>
        <v>61.56</v>
      </c>
      <c r="G301" s="62">
        <f t="shared" si="16"/>
        <v>246.24</v>
      </c>
    </row>
    <row r="302" spans="1:7" s="70" customFormat="1" ht="20.100000000000001" customHeight="1" x14ac:dyDescent="0.25">
      <c r="A302" s="59" t="s">
        <v>621</v>
      </c>
      <c r="B302" s="59" t="s">
        <v>622</v>
      </c>
      <c r="C302" s="60" t="s">
        <v>62</v>
      </c>
      <c r="D302" s="61">
        <v>2</v>
      </c>
      <c r="E302" s="62">
        <v>148.13</v>
      </c>
      <c r="F302" s="62">
        <f>148.13*$G$7</f>
        <v>148.13</v>
      </c>
      <c r="G302" s="62">
        <f t="shared" si="16"/>
        <v>296.26</v>
      </c>
    </row>
    <row r="303" spans="1:7" s="70" customFormat="1" ht="24.95" customHeight="1" x14ac:dyDescent="0.25">
      <c r="A303" s="59" t="s">
        <v>623</v>
      </c>
      <c r="B303" s="59" t="s">
        <v>624</v>
      </c>
      <c r="C303" s="60" t="s">
        <v>625</v>
      </c>
      <c r="D303" s="61">
        <v>2</v>
      </c>
      <c r="E303" s="62">
        <v>158.41</v>
      </c>
      <c r="F303" s="62">
        <f>158.41*$G$7</f>
        <v>158.41</v>
      </c>
      <c r="G303" s="62">
        <f t="shared" si="16"/>
        <v>316.82</v>
      </c>
    </row>
    <row r="304" spans="1:7" s="70" customFormat="1" ht="20.100000000000001" customHeight="1" x14ac:dyDescent="0.25">
      <c r="A304" s="59" t="s">
        <v>626</v>
      </c>
      <c r="B304" s="59" t="s">
        <v>627</v>
      </c>
      <c r="C304" s="60" t="s">
        <v>232</v>
      </c>
      <c r="D304" s="61">
        <v>43</v>
      </c>
      <c r="E304" s="62">
        <v>37.97</v>
      </c>
      <c r="F304" s="62">
        <f>37.97*$G$7</f>
        <v>37.97</v>
      </c>
      <c r="G304" s="62">
        <f t="shared" si="16"/>
        <v>1632.71</v>
      </c>
    </row>
    <row r="305" spans="1:7" s="70" customFormat="1" ht="20.100000000000001" customHeight="1" x14ac:dyDescent="0.25">
      <c r="A305" s="59" t="s">
        <v>628</v>
      </c>
      <c r="B305" s="59" t="s">
        <v>629</v>
      </c>
      <c r="C305" s="60" t="s">
        <v>48</v>
      </c>
      <c r="D305" s="61">
        <v>4</v>
      </c>
      <c r="E305" s="62">
        <v>186.7</v>
      </c>
      <c r="F305" s="62">
        <f>186.7*$G$7</f>
        <v>186.7</v>
      </c>
      <c r="G305" s="62">
        <f t="shared" si="16"/>
        <v>746.8</v>
      </c>
    </row>
    <row r="306" spans="1:7" s="70" customFormat="1" ht="24.95" customHeight="1" x14ac:dyDescent="0.25">
      <c r="A306" s="59" t="s">
        <v>630</v>
      </c>
      <c r="B306" s="59" t="s">
        <v>631</v>
      </c>
      <c r="C306" s="60" t="s">
        <v>62</v>
      </c>
      <c r="D306" s="61">
        <v>48</v>
      </c>
      <c r="E306" s="62">
        <v>1.36</v>
      </c>
      <c r="F306" s="62">
        <f>1.36*$G$7</f>
        <v>1.36</v>
      </c>
      <c r="G306" s="62">
        <f t="shared" si="16"/>
        <v>65.28</v>
      </c>
    </row>
    <row r="307" spans="1:7" s="70" customFormat="1" ht="24.95" customHeight="1" x14ac:dyDescent="0.25">
      <c r="A307" s="59" t="s">
        <v>632</v>
      </c>
      <c r="B307" s="59" t="s">
        <v>633</v>
      </c>
      <c r="C307" s="60" t="s">
        <v>62</v>
      </c>
      <c r="D307" s="61">
        <v>8</v>
      </c>
      <c r="E307" s="62">
        <v>9.07</v>
      </c>
      <c r="F307" s="62">
        <f>9.07*$G$7</f>
        <v>9.07</v>
      </c>
      <c r="G307" s="62">
        <f t="shared" si="16"/>
        <v>72.56</v>
      </c>
    </row>
    <row r="308" spans="1:7" s="70" customFormat="1" ht="24.95" customHeight="1" x14ac:dyDescent="0.25">
      <c r="A308" s="59" t="s">
        <v>634</v>
      </c>
      <c r="B308" s="59" t="s">
        <v>635</v>
      </c>
      <c r="C308" s="60" t="s">
        <v>62</v>
      </c>
      <c r="D308" s="61">
        <v>8</v>
      </c>
      <c r="E308" s="62">
        <v>15.11</v>
      </c>
      <c r="F308" s="62">
        <f>15.11*$G$7</f>
        <v>15.11</v>
      </c>
      <c r="G308" s="62">
        <f t="shared" si="16"/>
        <v>120.88</v>
      </c>
    </row>
    <row r="309" spans="1:7" s="70" customFormat="1" ht="24.95" customHeight="1" x14ac:dyDescent="0.25">
      <c r="A309" s="59" t="s">
        <v>636</v>
      </c>
      <c r="B309" s="59" t="s">
        <v>637</v>
      </c>
      <c r="C309" s="60" t="s">
        <v>62</v>
      </c>
      <c r="D309" s="61">
        <v>8</v>
      </c>
      <c r="E309" s="62">
        <v>6.61</v>
      </c>
      <c r="F309" s="62">
        <f>6.61*$G$7</f>
        <v>6.61</v>
      </c>
      <c r="G309" s="62">
        <f t="shared" si="16"/>
        <v>52.88</v>
      </c>
    </row>
    <row r="310" spans="1:7" s="70" customFormat="1" ht="24.95" customHeight="1" x14ac:dyDescent="0.25">
      <c r="A310" s="59" t="s">
        <v>638</v>
      </c>
      <c r="B310" s="59" t="s">
        <v>639</v>
      </c>
      <c r="C310" s="60" t="s">
        <v>62</v>
      </c>
      <c r="D310" s="61">
        <v>8</v>
      </c>
      <c r="E310" s="62">
        <v>16.97</v>
      </c>
      <c r="F310" s="62">
        <f>16.97*$G$7</f>
        <v>16.97</v>
      </c>
      <c r="G310" s="62">
        <f t="shared" si="16"/>
        <v>135.76</v>
      </c>
    </row>
    <row r="311" spans="1:7" s="70" customFormat="1" ht="24.95" customHeight="1" x14ac:dyDescent="0.25">
      <c r="A311" s="59" t="s">
        <v>640</v>
      </c>
      <c r="B311" s="59" t="s">
        <v>641</v>
      </c>
      <c r="C311" s="60" t="s">
        <v>62</v>
      </c>
      <c r="D311" s="61">
        <v>8</v>
      </c>
      <c r="E311" s="62">
        <v>6.61</v>
      </c>
      <c r="F311" s="62">
        <f>6.61*$G$7</f>
        <v>6.61</v>
      </c>
      <c r="G311" s="62">
        <f t="shared" si="16"/>
        <v>52.88</v>
      </c>
    </row>
    <row r="312" spans="1:7" s="70" customFormat="1" ht="24.95" customHeight="1" x14ac:dyDescent="0.25">
      <c r="A312" s="59" t="s">
        <v>642</v>
      </c>
      <c r="B312" s="59" t="s">
        <v>643</v>
      </c>
      <c r="C312" s="60" t="s">
        <v>62</v>
      </c>
      <c r="D312" s="61">
        <v>8</v>
      </c>
      <c r="E312" s="62">
        <v>7.14</v>
      </c>
      <c r="F312" s="62">
        <f>7.14*$G$7</f>
        <v>7.14</v>
      </c>
      <c r="G312" s="62">
        <f t="shared" si="16"/>
        <v>57.12</v>
      </c>
    </row>
    <row r="313" spans="1:7" s="70" customFormat="1" ht="24.95" customHeight="1" x14ac:dyDescent="0.25">
      <c r="A313" s="59" t="s">
        <v>644</v>
      </c>
      <c r="B313" s="59" t="s">
        <v>645</v>
      </c>
      <c r="C313" s="60" t="s">
        <v>48</v>
      </c>
      <c r="D313" s="61">
        <v>3</v>
      </c>
      <c r="E313" s="62">
        <v>13.55</v>
      </c>
      <c r="F313" s="62">
        <f>13.55*$G$7</f>
        <v>13.55</v>
      </c>
      <c r="G313" s="62">
        <f t="shared" si="16"/>
        <v>40.650000000000006</v>
      </c>
    </row>
    <row r="314" spans="1:7" s="70" customFormat="1" ht="20.100000000000001" customHeight="1" x14ac:dyDescent="0.25">
      <c r="A314" s="59" t="s">
        <v>646</v>
      </c>
      <c r="B314" s="59" t="s">
        <v>647</v>
      </c>
      <c r="C314" s="60" t="s">
        <v>232</v>
      </c>
      <c r="D314" s="61">
        <v>4</v>
      </c>
      <c r="E314" s="62">
        <v>9.4</v>
      </c>
      <c r="F314" s="62">
        <f>9.4*$G$7</f>
        <v>9.4</v>
      </c>
      <c r="G314" s="62">
        <f t="shared" si="16"/>
        <v>37.6</v>
      </c>
    </row>
    <row r="315" spans="1:7" s="70" customFormat="1" ht="24.95" customHeight="1" x14ac:dyDescent="0.25">
      <c r="A315" s="59" t="s">
        <v>648</v>
      </c>
      <c r="B315" s="59" t="s">
        <v>649</v>
      </c>
      <c r="C315" s="60" t="s">
        <v>48</v>
      </c>
      <c r="D315" s="61">
        <v>8</v>
      </c>
      <c r="E315" s="62">
        <v>37.78</v>
      </c>
      <c r="F315" s="62">
        <f>37.78*$G$7</f>
        <v>37.78</v>
      </c>
      <c r="G315" s="62">
        <f t="shared" si="16"/>
        <v>302.24</v>
      </c>
    </row>
    <row r="316" spans="1:7" s="70" customFormat="1" ht="20.100000000000001" customHeight="1" x14ac:dyDescent="0.25">
      <c r="A316" s="59" t="s">
        <v>650</v>
      </c>
      <c r="B316" s="59" t="s">
        <v>651</v>
      </c>
      <c r="C316" s="60" t="s">
        <v>48</v>
      </c>
      <c r="D316" s="61">
        <v>2</v>
      </c>
      <c r="E316" s="62">
        <v>106.17</v>
      </c>
      <c r="F316" s="62">
        <f>106.17*$G$7</f>
        <v>106.17</v>
      </c>
      <c r="G316" s="62">
        <f t="shared" si="16"/>
        <v>212.34</v>
      </c>
    </row>
    <row r="317" spans="1:7" s="70" customFormat="1" ht="20.100000000000001" customHeight="1" x14ac:dyDescent="0.25">
      <c r="A317" s="59" t="s">
        <v>652</v>
      </c>
      <c r="B317" s="59" t="s">
        <v>653</v>
      </c>
      <c r="C317" s="60" t="s">
        <v>62</v>
      </c>
      <c r="D317" s="61">
        <v>3</v>
      </c>
      <c r="E317" s="62">
        <v>13.33</v>
      </c>
      <c r="F317" s="62">
        <f>13.33*$G$7</f>
        <v>13.33</v>
      </c>
      <c r="G317" s="62">
        <f t="shared" si="16"/>
        <v>39.99</v>
      </c>
    </row>
    <row r="318" spans="1:7" s="70" customFormat="1" ht="20.100000000000001" customHeight="1" x14ac:dyDescent="0.25">
      <c r="A318" s="59" t="s">
        <v>654</v>
      </c>
      <c r="B318" s="59" t="s">
        <v>655</v>
      </c>
      <c r="C318" s="60" t="s">
        <v>62</v>
      </c>
      <c r="D318" s="61">
        <v>3</v>
      </c>
      <c r="E318" s="62">
        <v>12.39</v>
      </c>
      <c r="F318" s="62">
        <f>12.39*$G$7</f>
        <v>12.39</v>
      </c>
      <c r="G318" s="62">
        <f t="shared" si="16"/>
        <v>37.17</v>
      </c>
    </row>
    <row r="319" spans="1:7" s="70" customFormat="1" ht="24.95" customHeight="1" x14ac:dyDescent="0.25">
      <c r="A319" s="59" t="s">
        <v>656</v>
      </c>
      <c r="B319" s="59" t="s">
        <v>657</v>
      </c>
      <c r="C319" s="60" t="s">
        <v>48</v>
      </c>
      <c r="D319" s="61">
        <v>3</v>
      </c>
      <c r="E319" s="62">
        <v>248.22</v>
      </c>
      <c r="F319" s="62">
        <f>248.22*$G$7</f>
        <v>248.22</v>
      </c>
      <c r="G319" s="62">
        <f t="shared" ref="G319:G336" si="17">D319*F319</f>
        <v>744.66</v>
      </c>
    </row>
    <row r="320" spans="1:7" s="70" customFormat="1" ht="24.95" customHeight="1" x14ac:dyDescent="0.25">
      <c r="A320" s="59" t="s">
        <v>658</v>
      </c>
      <c r="B320" s="59" t="s">
        <v>659</v>
      </c>
      <c r="C320" s="60" t="s">
        <v>48</v>
      </c>
      <c r="D320" s="61">
        <v>1</v>
      </c>
      <c r="E320" s="62">
        <v>1073.98</v>
      </c>
      <c r="F320" s="62">
        <f>1073.98*$G$7</f>
        <v>1073.98</v>
      </c>
      <c r="G320" s="62">
        <f t="shared" si="17"/>
        <v>1073.98</v>
      </c>
    </row>
    <row r="321" spans="1:7" s="70" customFormat="1" ht="20.100000000000001" customHeight="1" x14ac:dyDescent="0.25">
      <c r="A321" s="59" t="s">
        <v>660</v>
      </c>
      <c r="B321" s="59" t="s">
        <v>661</v>
      </c>
      <c r="C321" s="60" t="s">
        <v>48</v>
      </c>
      <c r="D321" s="61">
        <v>12</v>
      </c>
      <c r="E321" s="62">
        <v>29.23</v>
      </c>
      <c r="F321" s="62">
        <f>29.23*$G$7</f>
        <v>29.23</v>
      </c>
      <c r="G321" s="62">
        <f t="shared" si="17"/>
        <v>350.76</v>
      </c>
    </row>
    <row r="322" spans="1:7" s="70" customFormat="1" ht="24.95" customHeight="1" x14ac:dyDescent="0.25">
      <c r="A322" s="59" t="s">
        <v>662</v>
      </c>
      <c r="B322" s="59" t="s">
        <v>663</v>
      </c>
      <c r="C322" s="60" t="s">
        <v>232</v>
      </c>
      <c r="D322" s="61">
        <v>40</v>
      </c>
      <c r="E322" s="62">
        <v>89.33</v>
      </c>
      <c r="F322" s="62">
        <f>89.33*$G$7</f>
        <v>89.33</v>
      </c>
      <c r="G322" s="62">
        <f t="shared" si="17"/>
        <v>3573.2</v>
      </c>
    </row>
    <row r="323" spans="1:7" s="70" customFormat="1" ht="20.100000000000001" customHeight="1" x14ac:dyDescent="0.25">
      <c r="A323" s="59" t="s">
        <v>664</v>
      </c>
      <c r="B323" s="59" t="s">
        <v>665</v>
      </c>
      <c r="C323" s="60" t="s">
        <v>48</v>
      </c>
      <c r="D323" s="61">
        <v>1</v>
      </c>
      <c r="E323" s="62">
        <v>976.58</v>
      </c>
      <c r="F323" s="62">
        <f>976.58*$G$7</f>
        <v>976.58</v>
      </c>
      <c r="G323" s="62">
        <f t="shared" si="17"/>
        <v>976.58</v>
      </c>
    </row>
    <row r="324" spans="1:7" s="70" customFormat="1" ht="20.100000000000001" customHeight="1" x14ac:dyDescent="0.25">
      <c r="A324" s="59" t="s">
        <v>666</v>
      </c>
      <c r="B324" s="59" t="s">
        <v>667</v>
      </c>
      <c r="C324" s="60" t="s">
        <v>62</v>
      </c>
      <c r="D324" s="61">
        <v>1</v>
      </c>
      <c r="E324" s="62">
        <v>2122.71</v>
      </c>
      <c r="F324" s="62">
        <f>2122.71*$G$7</f>
        <v>2122.71</v>
      </c>
      <c r="G324" s="62">
        <f t="shared" si="17"/>
        <v>2122.71</v>
      </c>
    </row>
    <row r="325" spans="1:7" s="70" customFormat="1" ht="24.95" customHeight="1" x14ac:dyDescent="0.25">
      <c r="A325" s="59" t="s">
        <v>668</v>
      </c>
      <c r="B325" s="59" t="s">
        <v>669</v>
      </c>
      <c r="C325" s="60" t="s">
        <v>232</v>
      </c>
      <c r="D325" s="61">
        <v>4</v>
      </c>
      <c r="E325" s="62">
        <v>9.68</v>
      </c>
      <c r="F325" s="62">
        <f>9.68*$G$7</f>
        <v>9.68</v>
      </c>
      <c r="G325" s="62">
        <f t="shared" si="17"/>
        <v>38.72</v>
      </c>
    </row>
    <row r="326" spans="1:7" s="70" customFormat="1" ht="24.95" customHeight="1" x14ac:dyDescent="0.25">
      <c r="A326" s="59" t="s">
        <v>670</v>
      </c>
      <c r="B326" s="59" t="s">
        <v>671</v>
      </c>
      <c r="C326" s="60" t="s">
        <v>48</v>
      </c>
      <c r="D326" s="61">
        <v>1</v>
      </c>
      <c r="E326" s="62">
        <v>12.33</v>
      </c>
      <c r="F326" s="62">
        <f>12.33*$G$7</f>
        <v>12.33</v>
      </c>
      <c r="G326" s="62">
        <f t="shared" si="17"/>
        <v>12.33</v>
      </c>
    </row>
    <row r="327" spans="1:7" s="70" customFormat="1" ht="24.95" customHeight="1" x14ac:dyDescent="0.25">
      <c r="A327" s="59" t="s">
        <v>672</v>
      </c>
      <c r="B327" s="59" t="s">
        <v>673</v>
      </c>
      <c r="C327" s="60" t="s">
        <v>48</v>
      </c>
      <c r="D327" s="61">
        <v>2</v>
      </c>
      <c r="E327" s="62">
        <v>12.56</v>
      </c>
      <c r="F327" s="62">
        <f>12.56*$G$7</f>
        <v>12.56</v>
      </c>
      <c r="G327" s="62">
        <f t="shared" si="17"/>
        <v>25.12</v>
      </c>
    </row>
    <row r="328" spans="1:7" s="70" customFormat="1" ht="20.100000000000001" customHeight="1" x14ac:dyDescent="0.25">
      <c r="A328" s="59" t="s">
        <v>674</v>
      </c>
      <c r="B328" s="59" t="s">
        <v>675</v>
      </c>
      <c r="C328" s="60" t="s">
        <v>122</v>
      </c>
      <c r="D328" s="61">
        <v>2.9</v>
      </c>
      <c r="E328" s="62">
        <v>72.64</v>
      </c>
      <c r="F328" s="62">
        <f>72.64*$G$7</f>
        <v>72.64</v>
      </c>
      <c r="G328" s="62">
        <f t="shared" si="17"/>
        <v>210.65600000000001</v>
      </c>
    </row>
    <row r="329" spans="1:7" s="70" customFormat="1" ht="24.95" customHeight="1" x14ac:dyDescent="0.25">
      <c r="A329" s="59" t="s">
        <v>676</v>
      </c>
      <c r="B329" s="59" t="s">
        <v>243</v>
      </c>
      <c r="C329" s="60" t="s">
        <v>122</v>
      </c>
      <c r="D329" s="61">
        <v>0.75</v>
      </c>
      <c r="E329" s="62">
        <v>343.25</v>
      </c>
      <c r="F329" s="62">
        <f>343.25*$G$7</f>
        <v>343.25</v>
      </c>
      <c r="G329" s="62">
        <f t="shared" si="17"/>
        <v>257.4375</v>
      </c>
    </row>
    <row r="330" spans="1:7" s="70" customFormat="1" ht="20.100000000000001" customHeight="1" x14ac:dyDescent="0.25">
      <c r="A330" s="59" t="s">
        <v>677</v>
      </c>
      <c r="B330" s="59" t="s">
        <v>245</v>
      </c>
      <c r="C330" s="60" t="s">
        <v>122</v>
      </c>
      <c r="D330" s="61">
        <v>0.75</v>
      </c>
      <c r="E330" s="62">
        <v>126.99</v>
      </c>
      <c r="F330" s="62">
        <f>126.99*$G$7</f>
        <v>126.99</v>
      </c>
      <c r="G330" s="62">
        <f t="shared" si="17"/>
        <v>95.242499999999993</v>
      </c>
    </row>
    <row r="331" spans="1:7" s="70" customFormat="1" ht="24.95" customHeight="1" x14ac:dyDescent="0.25">
      <c r="A331" s="59" t="s">
        <v>678</v>
      </c>
      <c r="B331" s="59" t="s">
        <v>679</v>
      </c>
      <c r="C331" s="60" t="s">
        <v>53</v>
      </c>
      <c r="D331" s="61">
        <v>10.1</v>
      </c>
      <c r="E331" s="62">
        <v>63.2</v>
      </c>
      <c r="F331" s="62">
        <f>63.2*$G$7</f>
        <v>63.2</v>
      </c>
      <c r="G331" s="62">
        <f t="shared" si="17"/>
        <v>638.32000000000005</v>
      </c>
    </row>
    <row r="332" spans="1:7" s="70" customFormat="1" ht="24.95" customHeight="1" x14ac:dyDescent="0.25">
      <c r="A332" s="59" t="s">
        <v>680</v>
      </c>
      <c r="B332" s="59" t="s">
        <v>681</v>
      </c>
      <c r="C332" s="60" t="s">
        <v>232</v>
      </c>
      <c r="D332" s="61">
        <v>4.5</v>
      </c>
      <c r="E332" s="62">
        <v>25.55</v>
      </c>
      <c r="F332" s="62">
        <f>25.55*$G$7</f>
        <v>25.55</v>
      </c>
      <c r="G332" s="62">
        <f t="shared" si="17"/>
        <v>114.97500000000001</v>
      </c>
    </row>
    <row r="333" spans="1:7" s="70" customFormat="1" ht="24.95" customHeight="1" x14ac:dyDescent="0.25">
      <c r="A333" s="59" t="s">
        <v>682</v>
      </c>
      <c r="B333" s="59" t="s">
        <v>438</v>
      </c>
      <c r="C333" s="60" t="s">
        <v>53</v>
      </c>
      <c r="D333" s="61">
        <v>22.5</v>
      </c>
      <c r="E333" s="62">
        <v>6.22</v>
      </c>
      <c r="F333" s="62">
        <f>6.22*$G$7</f>
        <v>6.22</v>
      </c>
      <c r="G333" s="62">
        <f t="shared" si="17"/>
        <v>139.94999999999999</v>
      </c>
    </row>
    <row r="334" spans="1:7" s="70" customFormat="1" ht="24.95" customHeight="1" x14ac:dyDescent="0.25">
      <c r="A334" s="59" t="s">
        <v>683</v>
      </c>
      <c r="B334" s="59" t="s">
        <v>310</v>
      </c>
      <c r="C334" s="60" t="s">
        <v>53</v>
      </c>
      <c r="D334" s="61">
        <v>22.5</v>
      </c>
      <c r="E334" s="62">
        <v>35.78</v>
      </c>
      <c r="F334" s="62">
        <f>35.78*$G$7</f>
        <v>35.78</v>
      </c>
      <c r="G334" s="62">
        <f t="shared" si="17"/>
        <v>805.05000000000007</v>
      </c>
    </row>
    <row r="335" spans="1:7" s="70" customFormat="1" ht="20.100000000000001" customHeight="1" x14ac:dyDescent="0.25">
      <c r="A335" s="59" t="s">
        <v>684</v>
      </c>
      <c r="B335" s="59" t="s">
        <v>685</v>
      </c>
      <c r="C335" s="60" t="s">
        <v>122</v>
      </c>
      <c r="D335" s="61">
        <v>2.2000000000000002</v>
      </c>
      <c r="E335" s="62">
        <v>55.1</v>
      </c>
      <c r="F335" s="62">
        <f>55.1*$G$7</f>
        <v>55.1</v>
      </c>
      <c r="G335" s="62">
        <f t="shared" si="17"/>
        <v>121.22000000000001</v>
      </c>
    </row>
    <row r="336" spans="1:7" s="70" customFormat="1" ht="20.100000000000001" customHeight="1" x14ac:dyDescent="0.25">
      <c r="A336" s="59" t="s">
        <v>686</v>
      </c>
      <c r="B336" s="59" t="s">
        <v>687</v>
      </c>
      <c r="C336" s="60" t="s">
        <v>232</v>
      </c>
      <c r="D336" s="61">
        <v>5</v>
      </c>
      <c r="E336" s="62">
        <v>62.97</v>
      </c>
      <c r="F336" s="62">
        <f>62.97*$G$7</f>
        <v>62.97</v>
      </c>
      <c r="G336" s="62">
        <f t="shared" si="17"/>
        <v>314.85000000000002</v>
      </c>
    </row>
    <row r="337" spans="1:7" ht="15" customHeight="1" x14ac:dyDescent="0.25">
      <c r="A337" s="55" t="s">
        <v>688</v>
      </c>
      <c r="B337" s="55" t="s">
        <v>689</v>
      </c>
      <c r="C337" s="55"/>
      <c r="D337" s="56"/>
      <c r="E337" s="57"/>
      <c r="F337" s="57"/>
      <c r="G337" s="57">
        <f>G338+G343+G346+G354</f>
        <v>53871.700000000004</v>
      </c>
    </row>
    <row r="338" spans="1:7" ht="15" customHeight="1" x14ac:dyDescent="0.25">
      <c r="A338" s="55" t="s">
        <v>690</v>
      </c>
      <c r="B338" s="55" t="s">
        <v>691</v>
      </c>
      <c r="C338" s="55"/>
      <c r="D338" s="56"/>
      <c r="E338" s="57"/>
      <c r="F338" s="57"/>
      <c r="G338" s="57">
        <f>SUM(G339:G342)</f>
        <v>34325.54</v>
      </c>
    </row>
    <row r="339" spans="1:7" ht="50.1" customHeight="1" x14ac:dyDescent="0.25">
      <c r="A339" s="59" t="s">
        <v>692</v>
      </c>
      <c r="B339" s="59" t="s">
        <v>693</v>
      </c>
      <c r="C339" s="60" t="s">
        <v>48</v>
      </c>
      <c r="D339" s="61">
        <v>100</v>
      </c>
      <c r="E339" s="62">
        <v>217.16</v>
      </c>
      <c r="F339" s="62">
        <f>217.16*$G$7</f>
        <v>217.16</v>
      </c>
      <c r="G339" s="62">
        <f>D339*F339</f>
        <v>21716</v>
      </c>
    </row>
    <row r="340" spans="1:7" s="70" customFormat="1" ht="50.1" customHeight="1" x14ac:dyDescent="0.25">
      <c r="A340" s="59" t="s">
        <v>694</v>
      </c>
      <c r="B340" s="59" t="s">
        <v>695</v>
      </c>
      <c r="C340" s="60" t="s">
        <v>48</v>
      </c>
      <c r="D340" s="61">
        <v>44</v>
      </c>
      <c r="E340" s="62">
        <v>208.1</v>
      </c>
      <c r="F340" s="62">
        <f>208.1*$G$7</f>
        <v>208.1</v>
      </c>
      <c r="G340" s="62">
        <f>D340*F340</f>
        <v>9156.4</v>
      </c>
    </row>
    <row r="341" spans="1:7" s="70" customFormat="1" ht="50.1" customHeight="1" x14ac:dyDescent="0.25">
      <c r="A341" s="59" t="s">
        <v>696</v>
      </c>
      <c r="B341" s="59" t="s">
        <v>697</v>
      </c>
      <c r="C341" s="60" t="s">
        <v>48</v>
      </c>
      <c r="D341" s="61">
        <v>2</v>
      </c>
      <c r="E341" s="62">
        <v>203.57</v>
      </c>
      <c r="F341" s="62">
        <f>203.57*$G$7</f>
        <v>203.57</v>
      </c>
      <c r="G341" s="62">
        <f>D341*F341</f>
        <v>407.14</v>
      </c>
    </row>
    <row r="342" spans="1:7" ht="45" customHeight="1" x14ac:dyDescent="0.25">
      <c r="A342" s="59" t="s">
        <v>698</v>
      </c>
      <c r="B342" s="59" t="s">
        <v>699</v>
      </c>
      <c r="C342" s="60" t="s">
        <v>62</v>
      </c>
      <c r="D342" s="61">
        <v>20</v>
      </c>
      <c r="E342" s="62">
        <v>152.30000000000001</v>
      </c>
      <c r="F342" s="62">
        <f>152.3*$G$7</f>
        <v>152.30000000000001</v>
      </c>
      <c r="G342" s="62">
        <f>D342*F342</f>
        <v>3046</v>
      </c>
    </row>
    <row r="343" spans="1:7" ht="15" customHeight="1" x14ac:dyDescent="0.25">
      <c r="A343" s="55" t="s">
        <v>700</v>
      </c>
      <c r="B343" s="55" t="s">
        <v>701</v>
      </c>
      <c r="C343" s="55"/>
      <c r="D343" s="56"/>
      <c r="E343" s="57"/>
      <c r="F343" s="57"/>
      <c r="G343" s="57">
        <f>SUM(G344:G345)</f>
        <v>708.74</v>
      </c>
    </row>
    <row r="344" spans="1:7" ht="50.1" customHeight="1" x14ac:dyDescent="0.25">
      <c r="A344" s="59" t="s">
        <v>702</v>
      </c>
      <c r="B344" s="59" t="s">
        <v>703</v>
      </c>
      <c r="C344" s="60" t="s">
        <v>48</v>
      </c>
      <c r="D344" s="61">
        <v>2</v>
      </c>
      <c r="E344" s="62">
        <v>217.16</v>
      </c>
      <c r="F344" s="62">
        <f>217.16*$G$7</f>
        <v>217.16</v>
      </c>
      <c r="G344" s="62">
        <f>D344*F344</f>
        <v>434.32</v>
      </c>
    </row>
    <row r="345" spans="1:7" ht="30" customHeight="1" x14ac:dyDescent="0.25">
      <c r="A345" s="59" t="s">
        <v>704</v>
      </c>
      <c r="B345" s="59" t="s">
        <v>705</v>
      </c>
      <c r="C345" s="60" t="s">
        <v>62</v>
      </c>
      <c r="D345" s="61">
        <v>2</v>
      </c>
      <c r="E345" s="62">
        <v>137.21</v>
      </c>
      <c r="F345" s="62">
        <f>137.21*$G$7</f>
        <v>137.21</v>
      </c>
      <c r="G345" s="62">
        <f>D345*F345</f>
        <v>274.42</v>
      </c>
    </row>
    <row r="346" spans="1:7" ht="22.5" customHeight="1" x14ac:dyDescent="0.25">
      <c r="A346" s="55" t="s">
        <v>706</v>
      </c>
      <c r="B346" s="55" t="s">
        <v>707</v>
      </c>
      <c r="C346" s="55"/>
      <c r="D346" s="56"/>
      <c r="E346" s="57"/>
      <c r="F346" s="57"/>
      <c r="G346" s="57">
        <f>SUM(G347:G353)</f>
        <v>13082.550000000001</v>
      </c>
    </row>
    <row r="347" spans="1:7" ht="39.950000000000003" customHeight="1" x14ac:dyDescent="0.25">
      <c r="A347" s="59" t="s">
        <v>708</v>
      </c>
      <c r="B347" s="59" t="s">
        <v>709</v>
      </c>
      <c r="C347" s="60" t="s">
        <v>62</v>
      </c>
      <c r="D347" s="61">
        <v>3</v>
      </c>
      <c r="E347" s="62">
        <v>960.29</v>
      </c>
      <c r="F347" s="62">
        <f>960.29*$G$7</f>
        <v>960.29</v>
      </c>
      <c r="G347" s="62">
        <f t="shared" ref="G347:G353" si="18">D347*F347</f>
        <v>2880.87</v>
      </c>
    </row>
    <row r="348" spans="1:7" s="70" customFormat="1" ht="39.950000000000003" customHeight="1" x14ac:dyDescent="0.25">
      <c r="A348" s="59" t="s">
        <v>710</v>
      </c>
      <c r="B348" s="59" t="s">
        <v>711</v>
      </c>
      <c r="C348" s="60" t="s">
        <v>62</v>
      </c>
      <c r="D348" s="61">
        <v>6</v>
      </c>
      <c r="E348" s="62">
        <v>633.87</v>
      </c>
      <c r="F348" s="62">
        <f>633.87*$G$7</f>
        <v>633.87</v>
      </c>
      <c r="G348" s="62">
        <f t="shared" si="18"/>
        <v>3803.2200000000003</v>
      </c>
    </row>
    <row r="349" spans="1:7" s="70" customFormat="1" ht="30" customHeight="1" x14ac:dyDescent="0.25">
      <c r="A349" s="59" t="s">
        <v>712</v>
      </c>
      <c r="B349" s="59" t="s">
        <v>713</v>
      </c>
      <c r="C349" s="60" t="s">
        <v>62</v>
      </c>
      <c r="D349" s="61">
        <v>22</v>
      </c>
      <c r="E349" s="62">
        <v>168.67</v>
      </c>
      <c r="F349" s="62">
        <f>168.67*$G$7</f>
        <v>168.67</v>
      </c>
      <c r="G349" s="62">
        <f t="shared" si="18"/>
        <v>3710.74</v>
      </c>
    </row>
    <row r="350" spans="1:7" s="70" customFormat="1" ht="30" customHeight="1" x14ac:dyDescent="0.25">
      <c r="A350" s="59" t="s">
        <v>714</v>
      </c>
      <c r="B350" s="59" t="s">
        <v>715</v>
      </c>
      <c r="C350" s="60" t="s">
        <v>62</v>
      </c>
      <c r="D350" s="61">
        <v>4</v>
      </c>
      <c r="E350" s="62">
        <v>323.8</v>
      </c>
      <c r="F350" s="62">
        <f>323.8*$G$7</f>
        <v>323.8</v>
      </c>
      <c r="G350" s="62">
        <f t="shared" si="18"/>
        <v>1295.2</v>
      </c>
    </row>
    <row r="351" spans="1:7" s="70" customFormat="1" ht="30" customHeight="1" x14ac:dyDescent="0.25">
      <c r="A351" s="59" t="s">
        <v>716</v>
      </c>
      <c r="B351" s="59" t="s">
        <v>717</v>
      </c>
      <c r="C351" s="60" t="s">
        <v>62</v>
      </c>
      <c r="D351" s="61">
        <v>6</v>
      </c>
      <c r="E351" s="62">
        <v>86.38</v>
      </c>
      <c r="F351" s="62">
        <f>86.38*$G$7</f>
        <v>86.38</v>
      </c>
      <c r="G351" s="62">
        <f t="shared" si="18"/>
        <v>518.28</v>
      </c>
    </row>
    <row r="352" spans="1:7" s="70" customFormat="1" ht="30" customHeight="1" x14ac:dyDescent="0.25">
      <c r="A352" s="59" t="s">
        <v>718</v>
      </c>
      <c r="B352" s="59" t="s">
        <v>719</v>
      </c>
      <c r="C352" s="60" t="s">
        <v>48</v>
      </c>
      <c r="D352" s="61">
        <v>9</v>
      </c>
      <c r="E352" s="62">
        <v>90.88</v>
      </c>
      <c r="F352" s="62">
        <f>90.88*$G$7</f>
        <v>90.88</v>
      </c>
      <c r="G352" s="62">
        <f t="shared" si="18"/>
        <v>817.92</v>
      </c>
    </row>
    <row r="353" spans="1:7" s="70" customFormat="1" ht="30" customHeight="1" x14ac:dyDescent="0.25">
      <c r="A353" s="59" t="s">
        <v>720</v>
      </c>
      <c r="B353" s="59" t="s">
        <v>721</v>
      </c>
      <c r="C353" s="60" t="s">
        <v>48</v>
      </c>
      <c r="D353" s="61">
        <v>2</v>
      </c>
      <c r="E353" s="62">
        <v>28.16</v>
      </c>
      <c r="F353" s="62">
        <f>28.16*$G$7</f>
        <v>28.16</v>
      </c>
      <c r="G353" s="62">
        <f t="shared" si="18"/>
        <v>56.32</v>
      </c>
    </row>
    <row r="354" spans="1:7" ht="15" customHeight="1" x14ac:dyDescent="0.25">
      <c r="A354" s="55" t="s">
        <v>722</v>
      </c>
      <c r="B354" s="55" t="s">
        <v>723</v>
      </c>
      <c r="C354" s="55"/>
      <c r="D354" s="56"/>
      <c r="E354" s="57"/>
      <c r="F354" s="57"/>
      <c r="G354" s="57">
        <f>SUM(G355:G358)</f>
        <v>5754.87</v>
      </c>
    </row>
    <row r="355" spans="1:7" ht="15" customHeight="1" x14ac:dyDescent="0.25">
      <c r="A355" s="59" t="s">
        <v>724</v>
      </c>
      <c r="B355" s="59" t="s">
        <v>725</v>
      </c>
      <c r="C355" s="60" t="s">
        <v>62</v>
      </c>
      <c r="D355" s="61">
        <v>198</v>
      </c>
      <c r="E355" s="62">
        <v>17.64</v>
      </c>
      <c r="F355" s="62">
        <f>17.64*$G$7</f>
        <v>17.64</v>
      </c>
      <c r="G355" s="62">
        <f>D355*F355</f>
        <v>3492.7200000000003</v>
      </c>
    </row>
    <row r="356" spans="1:7" s="70" customFormat="1" ht="15" customHeight="1" x14ac:dyDescent="0.25">
      <c r="A356" s="59" t="s">
        <v>726</v>
      </c>
      <c r="B356" s="59" t="s">
        <v>727</v>
      </c>
      <c r="C356" s="60" t="s">
        <v>232</v>
      </c>
      <c r="D356" s="61">
        <v>198</v>
      </c>
      <c r="E356" s="62">
        <v>9.5399999999999991</v>
      </c>
      <c r="F356" s="62">
        <f>9.54*$G$7</f>
        <v>9.5399999999999991</v>
      </c>
      <c r="G356" s="62">
        <f>D356*F356</f>
        <v>1888.9199999999998</v>
      </c>
    </row>
    <row r="357" spans="1:7" s="70" customFormat="1" ht="15" customHeight="1" x14ac:dyDescent="0.25">
      <c r="A357" s="59" t="s">
        <v>728</v>
      </c>
      <c r="B357" s="59" t="s">
        <v>729</v>
      </c>
      <c r="C357" s="60" t="s">
        <v>232</v>
      </c>
      <c r="D357" s="61">
        <v>13</v>
      </c>
      <c r="E357" s="62">
        <v>10.23</v>
      </c>
      <c r="F357" s="62">
        <f>10.23*$G$7</f>
        <v>10.23</v>
      </c>
      <c r="G357" s="62">
        <f>D357*F357</f>
        <v>132.99</v>
      </c>
    </row>
    <row r="358" spans="1:7" s="70" customFormat="1" ht="15" customHeight="1" x14ac:dyDescent="0.25">
      <c r="A358" s="59" t="s">
        <v>730</v>
      </c>
      <c r="B358" s="59" t="s">
        <v>731</v>
      </c>
      <c r="C358" s="60" t="s">
        <v>48</v>
      </c>
      <c r="D358" s="61">
        <v>13</v>
      </c>
      <c r="E358" s="62">
        <v>18.48</v>
      </c>
      <c r="F358" s="62">
        <f>18.48*$G$7</f>
        <v>18.48</v>
      </c>
      <c r="G358" s="62">
        <f>D358*F358</f>
        <v>240.24</v>
      </c>
    </row>
    <row r="359" spans="1:7" ht="15" customHeight="1" x14ac:dyDescent="0.25">
      <c r="A359" s="55" t="s">
        <v>732</v>
      </c>
      <c r="B359" s="55" t="s">
        <v>733</v>
      </c>
      <c r="C359" s="55"/>
      <c r="D359" s="56"/>
      <c r="E359" s="57"/>
      <c r="F359" s="57"/>
      <c r="G359" s="57">
        <f>SUM(G360:G361)</f>
        <v>1619.6800000000003</v>
      </c>
    </row>
    <row r="360" spans="1:7" ht="24.95" customHeight="1" x14ac:dyDescent="0.25">
      <c r="A360" s="59" t="s">
        <v>734</v>
      </c>
      <c r="B360" s="59" t="s">
        <v>735</v>
      </c>
      <c r="C360" s="60" t="s">
        <v>48</v>
      </c>
      <c r="D360" s="61">
        <v>22</v>
      </c>
      <c r="E360" s="62">
        <v>25.64</v>
      </c>
      <c r="F360" s="62">
        <f>25.64*$G$7</f>
        <v>25.64</v>
      </c>
      <c r="G360" s="62">
        <f>D360*F360</f>
        <v>564.08000000000004</v>
      </c>
    </row>
    <row r="361" spans="1:7" s="70" customFormat="1" ht="24.95" customHeight="1" x14ac:dyDescent="0.25">
      <c r="A361" s="59" t="s">
        <v>736</v>
      </c>
      <c r="B361" s="59" t="s">
        <v>737</v>
      </c>
      <c r="C361" s="60" t="s">
        <v>48</v>
      </c>
      <c r="D361" s="61">
        <v>26</v>
      </c>
      <c r="E361" s="62">
        <v>40.6</v>
      </c>
      <c r="F361" s="62">
        <f>40.6*$G$7</f>
        <v>40.6</v>
      </c>
      <c r="G361" s="62">
        <f>D361*F361</f>
        <v>1055.6000000000001</v>
      </c>
    </row>
    <row r="362" spans="1:7" ht="15" customHeight="1" x14ac:dyDescent="0.25">
      <c r="A362" s="55" t="s">
        <v>738</v>
      </c>
      <c r="B362" s="55" t="s">
        <v>739</v>
      </c>
      <c r="C362" s="55"/>
      <c r="D362" s="56"/>
      <c r="E362" s="57"/>
      <c r="F362" s="57"/>
      <c r="G362" s="57">
        <f>SUM(G363:G364)</f>
        <v>9536.7799999999988</v>
      </c>
    </row>
    <row r="363" spans="1:7" ht="24.95" customHeight="1" x14ac:dyDescent="0.25">
      <c r="A363" s="59" t="s">
        <v>740</v>
      </c>
      <c r="B363" s="59" t="s">
        <v>741</v>
      </c>
      <c r="C363" s="60" t="s">
        <v>48</v>
      </c>
      <c r="D363" s="61">
        <v>170</v>
      </c>
      <c r="E363" s="62">
        <v>32.83</v>
      </c>
      <c r="F363" s="62">
        <f>32.83*$G$7</f>
        <v>32.83</v>
      </c>
      <c r="G363" s="62">
        <f>D363*F363</f>
        <v>5581.0999999999995</v>
      </c>
    </row>
    <row r="364" spans="1:7" s="70" customFormat="1" ht="24.95" customHeight="1" x14ac:dyDescent="0.25">
      <c r="A364" s="59" t="s">
        <v>742</v>
      </c>
      <c r="B364" s="59" t="s">
        <v>743</v>
      </c>
      <c r="C364" s="60" t="s">
        <v>48</v>
      </c>
      <c r="D364" s="61">
        <v>72</v>
      </c>
      <c r="E364" s="62">
        <v>54.94</v>
      </c>
      <c r="F364" s="62">
        <f>54.94*$G$7</f>
        <v>54.94</v>
      </c>
      <c r="G364" s="62">
        <f>D364*F364</f>
        <v>3955.68</v>
      </c>
    </row>
    <row r="365" spans="1:7" ht="15" customHeight="1" x14ac:dyDescent="0.25">
      <c r="A365" s="55" t="s">
        <v>744</v>
      </c>
      <c r="B365" s="55" t="s">
        <v>745</v>
      </c>
      <c r="C365" s="55"/>
      <c r="D365" s="56"/>
      <c r="E365" s="57"/>
      <c r="F365" s="57"/>
      <c r="G365" s="57">
        <f>SUM(G366:G374)</f>
        <v>18129.332999999999</v>
      </c>
    </row>
    <row r="366" spans="1:7" ht="35.1" customHeight="1" x14ac:dyDescent="0.25">
      <c r="A366" s="59" t="s">
        <v>746</v>
      </c>
      <c r="B366" s="59" t="s">
        <v>615</v>
      </c>
      <c r="C366" s="60" t="s">
        <v>232</v>
      </c>
      <c r="D366" s="61">
        <v>1278.5999999999999</v>
      </c>
      <c r="E366" s="62">
        <v>11.11</v>
      </c>
      <c r="F366" s="62">
        <f>11.11*$G$7</f>
        <v>11.11</v>
      </c>
      <c r="G366" s="62">
        <f t="shared" ref="G366:G374" si="19">D366*F366</f>
        <v>14205.245999999997</v>
      </c>
    </row>
    <row r="367" spans="1:7" ht="35.1" customHeight="1" x14ac:dyDescent="0.25">
      <c r="A367" s="59" t="s">
        <v>747</v>
      </c>
      <c r="B367" s="59" t="s">
        <v>748</v>
      </c>
      <c r="C367" s="60" t="s">
        <v>232</v>
      </c>
      <c r="D367" s="61">
        <v>72.8</v>
      </c>
      <c r="E367" s="62">
        <v>13.9</v>
      </c>
      <c r="F367" s="62">
        <f>13.9*$G$7</f>
        <v>13.9</v>
      </c>
      <c r="G367" s="62">
        <f t="shared" si="19"/>
        <v>1011.92</v>
      </c>
    </row>
    <row r="368" spans="1:7" s="70" customFormat="1" ht="35.1" customHeight="1" x14ac:dyDescent="0.25">
      <c r="A368" s="59" t="s">
        <v>749</v>
      </c>
      <c r="B368" s="59" t="s">
        <v>750</v>
      </c>
      <c r="C368" s="60" t="s">
        <v>232</v>
      </c>
      <c r="D368" s="61">
        <v>19</v>
      </c>
      <c r="E368" s="62">
        <v>16.690000000000001</v>
      </c>
      <c r="F368" s="62">
        <f>16.69*$G$7</f>
        <v>16.690000000000001</v>
      </c>
      <c r="G368" s="62">
        <f t="shared" si="19"/>
        <v>317.11</v>
      </c>
    </row>
    <row r="369" spans="1:7" s="70" customFormat="1" ht="30" customHeight="1" x14ac:dyDescent="0.25">
      <c r="A369" s="59" t="s">
        <v>751</v>
      </c>
      <c r="B369" s="59" t="s">
        <v>752</v>
      </c>
      <c r="C369" s="60" t="s">
        <v>232</v>
      </c>
      <c r="D369" s="61">
        <v>18.3</v>
      </c>
      <c r="E369" s="62">
        <v>12.49</v>
      </c>
      <c r="F369" s="62">
        <f>12.49*$G$7</f>
        <v>12.49</v>
      </c>
      <c r="G369" s="62">
        <f t="shared" si="19"/>
        <v>228.56700000000001</v>
      </c>
    </row>
    <row r="370" spans="1:7" s="70" customFormat="1" ht="30" customHeight="1" x14ac:dyDescent="0.25">
      <c r="A370" s="59" t="s">
        <v>753</v>
      </c>
      <c r="B370" s="59" t="s">
        <v>754</v>
      </c>
      <c r="C370" s="60" t="s">
        <v>232</v>
      </c>
      <c r="D370" s="61">
        <v>0.5</v>
      </c>
      <c r="E370" s="62">
        <v>17.84</v>
      </c>
      <c r="F370" s="62">
        <f>17.84*$G$7</f>
        <v>17.84</v>
      </c>
      <c r="G370" s="62">
        <f t="shared" si="19"/>
        <v>8.92</v>
      </c>
    </row>
    <row r="371" spans="1:7" s="70" customFormat="1" ht="30" customHeight="1" x14ac:dyDescent="0.25">
      <c r="A371" s="59" t="s">
        <v>755</v>
      </c>
      <c r="B371" s="59" t="s">
        <v>609</v>
      </c>
      <c r="C371" s="60" t="s">
        <v>232</v>
      </c>
      <c r="D371" s="61">
        <v>14.9</v>
      </c>
      <c r="E371" s="62">
        <v>43.69</v>
      </c>
      <c r="F371" s="62">
        <f>43.69*$G$7</f>
        <v>43.69</v>
      </c>
      <c r="G371" s="62">
        <f t="shared" si="19"/>
        <v>650.98099999999999</v>
      </c>
    </row>
    <row r="372" spans="1:7" s="70" customFormat="1" ht="30" customHeight="1" x14ac:dyDescent="0.25">
      <c r="A372" s="59" t="s">
        <v>756</v>
      </c>
      <c r="B372" s="59" t="s">
        <v>757</v>
      </c>
      <c r="C372" s="60" t="s">
        <v>235</v>
      </c>
      <c r="D372" s="61">
        <v>23.9</v>
      </c>
      <c r="E372" s="62">
        <v>11.65</v>
      </c>
      <c r="F372" s="62">
        <f>11.65*$G$7</f>
        <v>11.65</v>
      </c>
      <c r="G372" s="62">
        <f t="shared" si="19"/>
        <v>278.435</v>
      </c>
    </row>
    <row r="373" spans="1:7" s="70" customFormat="1" ht="30" customHeight="1" x14ac:dyDescent="0.25">
      <c r="A373" s="59" t="s">
        <v>758</v>
      </c>
      <c r="B373" s="59" t="s">
        <v>759</v>
      </c>
      <c r="C373" s="60" t="s">
        <v>235</v>
      </c>
      <c r="D373" s="61">
        <v>46.9</v>
      </c>
      <c r="E373" s="62">
        <v>19.16</v>
      </c>
      <c r="F373" s="62">
        <f>19.16*$G$7</f>
        <v>19.16</v>
      </c>
      <c r="G373" s="62">
        <f t="shared" si="19"/>
        <v>898.60399999999993</v>
      </c>
    </row>
    <row r="374" spans="1:7" s="70" customFormat="1" ht="35.1" customHeight="1" x14ac:dyDescent="0.25">
      <c r="A374" s="59" t="s">
        <v>760</v>
      </c>
      <c r="B374" s="59" t="s">
        <v>761</v>
      </c>
      <c r="C374" s="60" t="s">
        <v>232</v>
      </c>
      <c r="D374" s="61">
        <v>35</v>
      </c>
      <c r="E374" s="62">
        <v>15.13</v>
      </c>
      <c r="F374" s="62">
        <f>15.13*$G$7</f>
        <v>15.13</v>
      </c>
      <c r="G374" s="62">
        <f t="shared" si="19"/>
        <v>529.55000000000007</v>
      </c>
    </row>
    <row r="375" spans="1:7" ht="15" customHeight="1" x14ac:dyDescent="0.25">
      <c r="A375" s="55" t="s">
        <v>762</v>
      </c>
      <c r="B375" s="55" t="s">
        <v>763</v>
      </c>
      <c r="C375" s="55"/>
      <c r="D375" s="56"/>
      <c r="E375" s="57"/>
      <c r="F375" s="57"/>
      <c r="G375" s="57">
        <f>SUM(G376:G377)</f>
        <v>7412.0000000000009</v>
      </c>
    </row>
    <row r="376" spans="1:7" ht="24.95" customHeight="1" x14ac:dyDescent="0.25">
      <c r="A376" s="59" t="s">
        <v>764</v>
      </c>
      <c r="B376" s="59" t="s">
        <v>765</v>
      </c>
      <c r="C376" s="60" t="s">
        <v>62</v>
      </c>
      <c r="D376" s="61">
        <v>53</v>
      </c>
      <c r="E376" s="62">
        <v>113.76</v>
      </c>
      <c r="F376" s="62">
        <f>113.76*$G$7</f>
        <v>113.76</v>
      </c>
      <c r="G376" s="62">
        <f>D376*F376</f>
        <v>6029.2800000000007</v>
      </c>
    </row>
    <row r="377" spans="1:7" s="70" customFormat="1" ht="24.95" customHeight="1" x14ac:dyDescent="0.25">
      <c r="A377" s="59" t="s">
        <v>766</v>
      </c>
      <c r="B377" s="59" t="s">
        <v>767</v>
      </c>
      <c r="C377" s="60" t="s">
        <v>235</v>
      </c>
      <c r="D377" s="61">
        <v>8</v>
      </c>
      <c r="E377" s="62">
        <v>172.84</v>
      </c>
      <c r="F377" s="62">
        <f>172.84*$G$7</f>
        <v>172.84</v>
      </c>
      <c r="G377" s="62">
        <f>D377*F377</f>
        <v>1382.72</v>
      </c>
    </row>
    <row r="378" spans="1:7" ht="15" customHeight="1" x14ac:dyDescent="0.25">
      <c r="A378" s="55" t="s">
        <v>768</v>
      </c>
      <c r="B378" s="55" t="s">
        <v>769</v>
      </c>
      <c r="C378" s="55"/>
      <c r="D378" s="56"/>
      <c r="E378" s="57"/>
      <c r="F378" s="57"/>
      <c r="G378" s="57">
        <f>SUM(G379:G387)</f>
        <v>768.61</v>
      </c>
    </row>
    <row r="379" spans="1:7" ht="24.95" customHeight="1" x14ac:dyDescent="0.25">
      <c r="A379" s="59" t="s">
        <v>770</v>
      </c>
      <c r="B379" s="59" t="s">
        <v>771</v>
      </c>
      <c r="C379" s="60" t="s">
        <v>62</v>
      </c>
      <c r="D379" s="61">
        <v>18</v>
      </c>
      <c r="E379" s="62">
        <v>11.38</v>
      </c>
      <c r="F379" s="62">
        <f>11.38*$G$7</f>
        <v>11.38</v>
      </c>
      <c r="G379" s="62">
        <f t="shared" ref="G379:G387" si="20">D379*F379</f>
        <v>204.84</v>
      </c>
    </row>
    <row r="380" spans="1:7" s="70" customFormat="1" ht="24.95" customHeight="1" x14ac:dyDescent="0.25">
      <c r="A380" s="59" t="s">
        <v>772</v>
      </c>
      <c r="B380" s="59" t="s">
        <v>773</v>
      </c>
      <c r="C380" s="60" t="s">
        <v>48</v>
      </c>
      <c r="D380" s="61">
        <v>4</v>
      </c>
      <c r="E380" s="62">
        <v>21.28</v>
      </c>
      <c r="F380" s="62">
        <f>21.28*$G$7</f>
        <v>21.28</v>
      </c>
      <c r="G380" s="62">
        <f t="shared" si="20"/>
        <v>85.12</v>
      </c>
    </row>
    <row r="381" spans="1:7" s="70" customFormat="1" ht="24.95" customHeight="1" x14ac:dyDescent="0.25">
      <c r="A381" s="59" t="s">
        <v>774</v>
      </c>
      <c r="B381" s="59" t="s">
        <v>775</v>
      </c>
      <c r="C381" s="60" t="s">
        <v>62</v>
      </c>
      <c r="D381" s="61">
        <v>3</v>
      </c>
      <c r="E381" s="62">
        <v>13.12</v>
      </c>
      <c r="F381" s="62">
        <f>13.12*$G$7</f>
        <v>13.12</v>
      </c>
      <c r="G381" s="62">
        <f t="shared" si="20"/>
        <v>39.36</v>
      </c>
    </row>
    <row r="382" spans="1:7" s="70" customFormat="1" ht="24.95" customHeight="1" x14ac:dyDescent="0.25">
      <c r="A382" s="59" t="s">
        <v>776</v>
      </c>
      <c r="B382" s="59" t="s">
        <v>777</v>
      </c>
      <c r="C382" s="60" t="s">
        <v>62</v>
      </c>
      <c r="D382" s="61">
        <v>2</v>
      </c>
      <c r="E382" s="62">
        <v>35.61</v>
      </c>
      <c r="F382" s="62">
        <f>35.61*$G$7</f>
        <v>35.61</v>
      </c>
      <c r="G382" s="62">
        <f t="shared" si="20"/>
        <v>71.22</v>
      </c>
    </row>
    <row r="383" spans="1:7" s="70" customFormat="1" ht="24.95" customHeight="1" x14ac:dyDescent="0.25">
      <c r="A383" s="59" t="s">
        <v>778</v>
      </c>
      <c r="B383" s="59" t="s">
        <v>779</v>
      </c>
      <c r="C383" s="60" t="s">
        <v>62</v>
      </c>
      <c r="D383" s="61">
        <v>4</v>
      </c>
      <c r="E383" s="62">
        <v>23.63</v>
      </c>
      <c r="F383" s="62">
        <f>23.63*$G$7</f>
        <v>23.63</v>
      </c>
      <c r="G383" s="62">
        <f t="shared" si="20"/>
        <v>94.52</v>
      </c>
    </row>
    <row r="384" spans="1:7" s="70" customFormat="1" ht="24.95" customHeight="1" x14ac:dyDescent="0.25">
      <c r="A384" s="59" t="s">
        <v>780</v>
      </c>
      <c r="B384" s="59" t="s">
        <v>781</v>
      </c>
      <c r="C384" s="60" t="s">
        <v>62</v>
      </c>
      <c r="D384" s="61">
        <v>22</v>
      </c>
      <c r="E384" s="62">
        <v>4.66</v>
      </c>
      <c r="F384" s="62">
        <f>4.66*$G$7</f>
        <v>4.66</v>
      </c>
      <c r="G384" s="62">
        <f t="shared" si="20"/>
        <v>102.52000000000001</v>
      </c>
    </row>
    <row r="385" spans="1:7" s="70" customFormat="1" ht="24.95" customHeight="1" x14ac:dyDescent="0.25">
      <c r="A385" s="59" t="s">
        <v>782</v>
      </c>
      <c r="B385" s="59" t="s">
        <v>783</v>
      </c>
      <c r="C385" s="60" t="s">
        <v>62</v>
      </c>
      <c r="D385" s="61">
        <v>11</v>
      </c>
      <c r="E385" s="62">
        <v>7.3</v>
      </c>
      <c r="F385" s="62">
        <f>7.3*$G$7</f>
        <v>7.3</v>
      </c>
      <c r="G385" s="62">
        <f t="shared" si="20"/>
        <v>80.3</v>
      </c>
    </row>
    <row r="386" spans="1:7" s="70" customFormat="1" ht="24.95" customHeight="1" x14ac:dyDescent="0.25">
      <c r="A386" s="59" t="s">
        <v>784</v>
      </c>
      <c r="B386" s="59" t="s">
        <v>785</v>
      </c>
      <c r="C386" s="60" t="s">
        <v>62</v>
      </c>
      <c r="D386" s="61">
        <v>2</v>
      </c>
      <c r="E386" s="62">
        <v>11.3</v>
      </c>
      <c r="F386" s="62">
        <f>11.3*$G$7</f>
        <v>11.3</v>
      </c>
      <c r="G386" s="62">
        <f t="shared" si="20"/>
        <v>22.6</v>
      </c>
    </row>
    <row r="387" spans="1:7" s="70" customFormat="1" ht="24.95" customHeight="1" x14ac:dyDescent="0.25">
      <c r="A387" s="59" t="s">
        <v>786</v>
      </c>
      <c r="B387" s="59" t="s">
        <v>787</v>
      </c>
      <c r="C387" s="60" t="s">
        <v>62</v>
      </c>
      <c r="D387" s="61">
        <v>9</v>
      </c>
      <c r="E387" s="62">
        <v>7.57</v>
      </c>
      <c r="F387" s="62">
        <f>7.57*$G$7</f>
        <v>7.57</v>
      </c>
      <c r="G387" s="62">
        <f t="shared" si="20"/>
        <v>68.13</v>
      </c>
    </row>
    <row r="388" spans="1:7" ht="15" customHeight="1" x14ac:dyDescent="0.25">
      <c r="A388" s="55" t="s">
        <v>788</v>
      </c>
      <c r="B388" s="55" t="s">
        <v>789</v>
      </c>
      <c r="C388" s="55"/>
      <c r="D388" s="56"/>
      <c r="E388" s="57"/>
      <c r="F388" s="57"/>
      <c r="G388" s="57">
        <f>SUM(G389:G393)</f>
        <v>15927.19</v>
      </c>
    </row>
    <row r="389" spans="1:7" ht="20.100000000000001" customHeight="1" x14ac:dyDescent="0.25">
      <c r="A389" s="59" t="s">
        <v>790</v>
      </c>
      <c r="B389" s="59" t="s">
        <v>791</v>
      </c>
      <c r="C389" s="60" t="s">
        <v>587</v>
      </c>
      <c r="D389" s="61">
        <v>1404</v>
      </c>
      <c r="E389" s="62">
        <v>10.24</v>
      </c>
      <c r="F389" s="62">
        <f>10.24*$G$7</f>
        <v>10.24</v>
      </c>
      <c r="G389" s="62">
        <f>D389*F389</f>
        <v>14376.960000000001</v>
      </c>
    </row>
    <row r="390" spans="1:7" s="70" customFormat="1" ht="20.100000000000001" customHeight="1" x14ac:dyDescent="0.25">
      <c r="A390" s="59" t="s">
        <v>792</v>
      </c>
      <c r="B390" s="59" t="s">
        <v>793</v>
      </c>
      <c r="C390" s="60" t="s">
        <v>587</v>
      </c>
      <c r="D390" s="61">
        <v>61</v>
      </c>
      <c r="E390" s="62">
        <v>10.27</v>
      </c>
      <c r="F390" s="62">
        <f>10.27*$G$7</f>
        <v>10.27</v>
      </c>
      <c r="G390" s="62">
        <f>D390*F390</f>
        <v>626.47</v>
      </c>
    </row>
    <row r="391" spans="1:7" s="70" customFormat="1" ht="24.95" customHeight="1" x14ac:dyDescent="0.25">
      <c r="A391" s="59" t="s">
        <v>794</v>
      </c>
      <c r="B391" s="59" t="s">
        <v>795</v>
      </c>
      <c r="C391" s="60" t="s">
        <v>62</v>
      </c>
      <c r="D391" s="61">
        <v>53</v>
      </c>
      <c r="E391" s="62">
        <v>11.87</v>
      </c>
      <c r="F391" s="62">
        <f>11.87*$G$7</f>
        <v>11.87</v>
      </c>
      <c r="G391" s="62">
        <f>D391*F391</f>
        <v>629.11</v>
      </c>
    </row>
    <row r="392" spans="1:7" s="70" customFormat="1" ht="24.95" customHeight="1" x14ac:dyDescent="0.25">
      <c r="A392" s="59" t="s">
        <v>796</v>
      </c>
      <c r="B392" s="59" t="s">
        <v>797</v>
      </c>
      <c r="C392" s="60" t="s">
        <v>62</v>
      </c>
      <c r="D392" s="61">
        <v>8</v>
      </c>
      <c r="E392" s="62">
        <v>13.95</v>
      </c>
      <c r="F392" s="62">
        <f>13.95*$G$7</f>
        <v>13.95</v>
      </c>
      <c r="G392" s="62">
        <f>D392*F392</f>
        <v>111.6</v>
      </c>
    </row>
    <row r="393" spans="1:7" s="70" customFormat="1" ht="24.95" customHeight="1" x14ac:dyDescent="0.25">
      <c r="A393" s="59" t="s">
        <v>798</v>
      </c>
      <c r="B393" s="59" t="s">
        <v>799</v>
      </c>
      <c r="C393" s="60" t="s">
        <v>62</v>
      </c>
      <c r="D393" s="61">
        <v>35</v>
      </c>
      <c r="E393" s="62">
        <v>5.23</v>
      </c>
      <c r="F393" s="62">
        <f>5.23*$G$7</f>
        <v>5.23</v>
      </c>
      <c r="G393" s="62">
        <f>D393*F393</f>
        <v>183.05</v>
      </c>
    </row>
    <row r="394" spans="1:7" ht="15" customHeight="1" x14ac:dyDescent="0.25">
      <c r="A394" s="55" t="s">
        <v>800</v>
      </c>
      <c r="B394" s="55" t="s">
        <v>801</v>
      </c>
      <c r="C394" s="55"/>
      <c r="D394" s="56"/>
      <c r="E394" s="57"/>
      <c r="F394" s="57"/>
      <c r="G394" s="57">
        <f>SUM(G395:G400)</f>
        <v>2638.52</v>
      </c>
    </row>
    <row r="395" spans="1:7" ht="24.95" customHeight="1" x14ac:dyDescent="0.25">
      <c r="A395" s="59" t="s">
        <v>802</v>
      </c>
      <c r="B395" s="59" t="s">
        <v>803</v>
      </c>
      <c r="C395" s="60" t="s">
        <v>48</v>
      </c>
      <c r="D395" s="61">
        <v>3</v>
      </c>
      <c r="E395" s="62">
        <v>26.86</v>
      </c>
      <c r="F395" s="62">
        <f>26.86*$G$7</f>
        <v>26.86</v>
      </c>
      <c r="G395" s="62">
        <f t="shared" ref="G395:G400" si="21">D395*F395</f>
        <v>80.58</v>
      </c>
    </row>
    <row r="396" spans="1:7" s="70" customFormat="1" ht="24.95" customHeight="1" x14ac:dyDescent="0.25">
      <c r="A396" s="59" t="s">
        <v>804</v>
      </c>
      <c r="B396" s="59" t="s">
        <v>805</v>
      </c>
      <c r="C396" s="60" t="s">
        <v>48</v>
      </c>
      <c r="D396" s="61">
        <v>13</v>
      </c>
      <c r="E396" s="62">
        <v>26.89</v>
      </c>
      <c r="F396" s="62">
        <f>26.89*$G$7</f>
        <v>26.89</v>
      </c>
      <c r="G396" s="62">
        <f t="shared" si="21"/>
        <v>349.57</v>
      </c>
    </row>
    <row r="397" spans="1:7" s="70" customFormat="1" ht="24.95" customHeight="1" x14ac:dyDescent="0.25">
      <c r="A397" s="59" t="s">
        <v>806</v>
      </c>
      <c r="B397" s="59" t="s">
        <v>807</v>
      </c>
      <c r="C397" s="60" t="s">
        <v>48</v>
      </c>
      <c r="D397" s="61">
        <v>18</v>
      </c>
      <c r="E397" s="62">
        <v>31.06</v>
      </c>
      <c r="F397" s="62">
        <f>31.06*$G$7</f>
        <v>31.06</v>
      </c>
      <c r="G397" s="62">
        <f t="shared" si="21"/>
        <v>559.07999999999993</v>
      </c>
    </row>
    <row r="398" spans="1:7" s="70" customFormat="1" ht="24.95" customHeight="1" x14ac:dyDescent="0.25">
      <c r="A398" s="59" t="s">
        <v>808</v>
      </c>
      <c r="B398" s="59" t="s">
        <v>809</v>
      </c>
      <c r="C398" s="60" t="s">
        <v>62</v>
      </c>
      <c r="D398" s="61">
        <v>4</v>
      </c>
      <c r="E398" s="62">
        <v>20.71</v>
      </c>
      <c r="F398" s="62">
        <f>20.71*$G$7</f>
        <v>20.71</v>
      </c>
      <c r="G398" s="62">
        <f t="shared" si="21"/>
        <v>82.84</v>
      </c>
    </row>
    <row r="399" spans="1:7" s="70" customFormat="1" ht="24.95" customHeight="1" x14ac:dyDescent="0.25">
      <c r="A399" s="59" t="s">
        <v>810</v>
      </c>
      <c r="B399" s="59" t="s">
        <v>811</v>
      </c>
      <c r="C399" s="60" t="s">
        <v>62</v>
      </c>
      <c r="D399" s="61">
        <v>3</v>
      </c>
      <c r="E399" s="62">
        <v>20.71</v>
      </c>
      <c r="F399" s="62">
        <f>20.71*$G$7</f>
        <v>20.71</v>
      </c>
      <c r="G399" s="62">
        <f t="shared" si="21"/>
        <v>62.13</v>
      </c>
    </row>
    <row r="400" spans="1:7" s="70" customFormat="1" ht="24.95" customHeight="1" x14ac:dyDescent="0.25">
      <c r="A400" s="59" t="s">
        <v>812</v>
      </c>
      <c r="B400" s="59" t="s">
        <v>813</v>
      </c>
      <c r="C400" s="60" t="s">
        <v>62</v>
      </c>
      <c r="D400" s="61">
        <v>32</v>
      </c>
      <c r="E400" s="62">
        <v>47.01</v>
      </c>
      <c r="F400" s="62">
        <f>47.01*$G$7</f>
        <v>47.01</v>
      </c>
      <c r="G400" s="62">
        <f t="shared" si="21"/>
        <v>1504.32</v>
      </c>
    </row>
    <row r="401" spans="1:7" ht="15" customHeight="1" x14ac:dyDescent="0.25">
      <c r="A401" s="55" t="s">
        <v>814</v>
      </c>
      <c r="B401" s="55" t="s">
        <v>815</v>
      </c>
      <c r="C401" s="55"/>
      <c r="D401" s="56"/>
      <c r="E401" s="57"/>
      <c r="F401" s="57"/>
      <c r="G401" s="57">
        <f>SUM(G402:G414)</f>
        <v>17886.14</v>
      </c>
    </row>
    <row r="402" spans="1:7" ht="24.95" customHeight="1" x14ac:dyDescent="0.25">
      <c r="A402" s="59" t="s">
        <v>816</v>
      </c>
      <c r="B402" s="59" t="s">
        <v>817</v>
      </c>
      <c r="C402" s="60" t="s">
        <v>48</v>
      </c>
      <c r="D402" s="61">
        <v>5</v>
      </c>
      <c r="E402" s="62">
        <v>12.35</v>
      </c>
      <c r="F402" s="62">
        <f>12.35*$G$7</f>
        <v>12.35</v>
      </c>
      <c r="G402" s="62">
        <f t="shared" ref="G402:G414" si="22">D402*F402</f>
        <v>61.75</v>
      </c>
    </row>
    <row r="403" spans="1:7" s="70" customFormat="1" ht="24.95" customHeight="1" x14ac:dyDescent="0.25">
      <c r="A403" s="59" t="s">
        <v>818</v>
      </c>
      <c r="B403" s="59" t="s">
        <v>819</v>
      </c>
      <c r="C403" s="60" t="s">
        <v>48</v>
      </c>
      <c r="D403" s="61">
        <v>200</v>
      </c>
      <c r="E403" s="62">
        <v>11.72</v>
      </c>
      <c r="F403" s="62">
        <f>11.72*$G$7</f>
        <v>11.72</v>
      </c>
      <c r="G403" s="62">
        <f t="shared" si="22"/>
        <v>2344</v>
      </c>
    </row>
    <row r="404" spans="1:7" s="70" customFormat="1" ht="24.95" customHeight="1" x14ac:dyDescent="0.25">
      <c r="A404" s="59" t="s">
        <v>820</v>
      </c>
      <c r="B404" s="59" t="s">
        <v>821</v>
      </c>
      <c r="C404" s="60" t="s">
        <v>48</v>
      </c>
      <c r="D404" s="61">
        <v>290</v>
      </c>
      <c r="E404" s="62">
        <v>14.31</v>
      </c>
      <c r="F404" s="62">
        <f>14.31*$G$7</f>
        <v>14.31</v>
      </c>
      <c r="G404" s="62">
        <f t="shared" si="22"/>
        <v>4149.9000000000005</v>
      </c>
    </row>
    <row r="405" spans="1:7" s="70" customFormat="1" ht="24.95" customHeight="1" x14ac:dyDescent="0.25">
      <c r="A405" s="59" t="s">
        <v>822</v>
      </c>
      <c r="B405" s="59" t="s">
        <v>823</v>
      </c>
      <c r="C405" s="60" t="s">
        <v>48</v>
      </c>
      <c r="D405" s="61">
        <v>28</v>
      </c>
      <c r="E405" s="62">
        <v>27.56</v>
      </c>
      <c r="F405" s="62">
        <f>27.56*$G$7</f>
        <v>27.56</v>
      </c>
      <c r="G405" s="62">
        <f t="shared" si="22"/>
        <v>771.68</v>
      </c>
    </row>
    <row r="406" spans="1:7" s="70" customFormat="1" ht="24.95" customHeight="1" x14ac:dyDescent="0.25">
      <c r="A406" s="59" t="s">
        <v>824</v>
      </c>
      <c r="B406" s="59" t="s">
        <v>825</v>
      </c>
      <c r="C406" s="60" t="s">
        <v>48</v>
      </c>
      <c r="D406" s="61">
        <v>39</v>
      </c>
      <c r="E406" s="62">
        <v>73.23</v>
      </c>
      <c r="F406" s="62">
        <f>73.23*$G$7</f>
        <v>73.23</v>
      </c>
      <c r="G406" s="62">
        <f t="shared" si="22"/>
        <v>2855.9700000000003</v>
      </c>
    </row>
    <row r="407" spans="1:7" s="70" customFormat="1" ht="24.95" customHeight="1" x14ac:dyDescent="0.25">
      <c r="A407" s="59" t="s">
        <v>826</v>
      </c>
      <c r="B407" s="59" t="s">
        <v>827</v>
      </c>
      <c r="C407" s="60" t="s">
        <v>48</v>
      </c>
      <c r="D407" s="61">
        <v>18</v>
      </c>
      <c r="E407" s="62">
        <v>54.28</v>
      </c>
      <c r="F407" s="62">
        <f>54.28*$G$7</f>
        <v>54.28</v>
      </c>
      <c r="G407" s="62">
        <f t="shared" si="22"/>
        <v>977.04</v>
      </c>
    </row>
    <row r="408" spans="1:7" s="70" customFormat="1" ht="24.95" customHeight="1" x14ac:dyDescent="0.25">
      <c r="A408" s="59" t="s">
        <v>828</v>
      </c>
      <c r="B408" s="59" t="s">
        <v>829</v>
      </c>
      <c r="C408" s="60" t="s">
        <v>48</v>
      </c>
      <c r="D408" s="61">
        <v>2</v>
      </c>
      <c r="E408" s="62">
        <v>88.75</v>
      </c>
      <c r="F408" s="62">
        <f>88.75*$G$7</f>
        <v>88.75</v>
      </c>
      <c r="G408" s="62">
        <f t="shared" si="22"/>
        <v>177.5</v>
      </c>
    </row>
    <row r="409" spans="1:7" s="70" customFormat="1" ht="24.95" customHeight="1" x14ac:dyDescent="0.25">
      <c r="A409" s="59" t="s">
        <v>830</v>
      </c>
      <c r="B409" s="59" t="s">
        <v>831</v>
      </c>
      <c r="C409" s="60" t="s">
        <v>48</v>
      </c>
      <c r="D409" s="61">
        <v>2</v>
      </c>
      <c r="E409" s="62">
        <v>134.44999999999999</v>
      </c>
      <c r="F409" s="62">
        <f>134.45*$G$7</f>
        <v>134.44999999999999</v>
      </c>
      <c r="G409" s="62">
        <f t="shared" si="22"/>
        <v>268.89999999999998</v>
      </c>
    </row>
    <row r="410" spans="1:7" s="70" customFormat="1" ht="24.95" customHeight="1" x14ac:dyDescent="0.25">
      <c r="A410" s="59" t="s">
        <v>832</v>
      </c>
      <c r="B410" s="59" t="s">
        <v>833</v>
      </c>
      <c r="C410" s="60" t="s">
        <v>618</v>
      </c>
      <c r="D410" s="61">
        <v>1</v>
      </c>
      <c r="E410" s="62">
        <v>143.06</v>
      </c>
      <c r="F410" s="62">
        <f>143.06*$G$7</f>
        <v>143.06</v>
      </c>
      <c r="G410" s="62">
        <f t="shared" si="22"/>
        <v>143.06</v>
      </c>
    </row>
    <row r="411" spans="1:7" s="70" customFormat="1" ht="24.95" customHeight="1" x14ac:dyDescent="0.25">
      <c r="A411" s="59" t="s">
        <v>834</v>
      </c>
      <c r="B411" s="59" t="s">
        <v>835</v>
      </c>
      <c r="C411" s="60" t="s">
        <v>62</v>
      </c>
      <c r="D411" s="61">
        <v>11</v>
      </c>
      <c r="E411" s="62">
        <v>148.13</v>
      </c>
      <c r="F411" s="62">
        <f>148.13*$G$7</f>
        <v>148.13</v>
      </c>
      <c r="G411" s="62">
        <f t="shared" si="22"/>
        <v>1629.4299999999998</v>
      </c>
    </row>
    <row r="412" spans="1:7" s="70" customFormat="1" ht="24.95" customHeight="1" x14ac:dyDescent="0.25">
      <c r="A412" s="59" t="s">
        <v>836</v>
      </c>
      <c r="B412" s="59" t="s">
        <v>837</v>
      </c>
      <c r="C412" s="60" t="s">
        <v>62</v>
      </c>
      <c r="D412" s="61">
        <v>1</v>
      </c>
      <c r="E412" s="62">
        <v>224.32</v>
      </c>
      <c r="F412" s="62">
        <f>224.32*$G$7</f>
        <v>224.32</v>
      </c>
      <c r="G412" s="62">
        <f t="shared" si="22"/>
        <v>224.32</v>
      </c>
    </row>
    <row r="413" spans="1:7" s="70" customFormat="1" ht="24.95" customHeight="1" x14ac:dyDescent="0.25">
      <c r="A413" s="59" t="s">
        <v>838</v>
      </c>
      <c r="B413" s="59" t="s">
        <v>839</v>
      </c>
      <c r="C413" s="60" t="s">
        <v>48</v>
      </c>
      <c r="D413" s="61">
        <v>3</v>
      </c>
      <c r="E413" s="62">
        <v>1260.43</v>
      </c>
      <c r="F413" s="62">
        <f>1260.43*$G$7</f>
        <v>1260.43</v>
      </c>
      <c r="G413" s="62">
        <f t="shared" si="22"/>
        <v>3781.29</v>
      </c>
    </row>
    <row r="414" spans="1:7" s="70" customFormat="1" ht="24.95" customHeight="1" x14ac:dyDescent="0.25">
      <c r="A414" s="59" t="s">
        <v>840</v>
      </c>
      <c r="B414" s="59" t="s">
        <v>841</v>
      </c>
      <c r="C414" s="60" t="s">
        <v>48</v>
      </c>
      <c r="D414" s="61">
        <v>5</v>
      </c>
      <c r="E414" s="62">
        <v>100.26</v>
      </c>
      <c r="F414" s="62">
        <f>100.26*$G$7</f>
        <v>100.26</v>
      </c>
      <c r="G414" s="62">
        <f t="shared" si="22"/>
        <v>501.3</v>
      </c>
    </row>
    <row r="415" spans="1:7" ht="15" customHeight="1" x14ac:dyDescent="0.25">
      <c r="A415" s="55" t="s">
        <v>842</v>
      </c>
      <c r="B415" s="55" t="s">
        <v>843</v>
      </c>
      <c r="C415" s="55"/>
      <c r="D415" s="56"/>
      <c r="E415" s="57"/>
      <c r="F415" s="57"/>
      <c r="G415" s="57">
        <f>G416+G420+G428+G431+G437+G441+G444+G458+G473+G478+G480+G489</f>
        <v>77159.709499999997</v>
      </c>
    </row>
    <row r="416" spans="1:7" ht="15" customHeight="1" x14ac:dyDescent="0.25">
      <c r="A416" s="55" t="s">
        <v>844</v>
      </c>
      <c r="B416" s="55" t="s">
        <v>845</v>
      </c>
      <c r="C416" s="55"/>
      <c r="D416" s="56"/>
      <c r="E416" s="57"/>
      <c r="F416" s="57"/>
      <c r="G416" s="57">
        <f>SUM(G417:G419)</f>
        <v>3993.3199999999997</v>
      </c>
    </row>
    <row r="417" spans="1:7" ht="15" customHeight="1" x14ac:dyDescent="0.25">
      <c r="A417" s="59" t="s">
        <v>846</v>
      </c>
      <c r="B417" s="59" t="s">
        <v>847</v>
      </c>
      <c r="C417" s="60" t="s">
        <v>62</v>
      </c>
      <c r="D417" s="61">
        <v>1</v>
      </c>
      <c r="E417" s="62">
        <v>2968.16</v>
      </c>
      <c r="F417" s="62">
        <f>2968.16*$G$7</f>
        <v>2968.16</v>
      </c>
      <c r="G417" s="62">
        <f>D417*F417</f>
        <v>2968.16</v>
      </c>
    </row>
    <row r="418" spans="1:7" s="70" customFormat="1" ht="15" customHeight="1" x14ac:dyDescent="0.25">
      <c r="A418" s="59" t="s">
        <v>848</v>
      </c>
      <c r="B418" s="59" t="s">
        <v>849</v>
      </c>
      <c r="C418" s="60" t="s">
        <v>48</v>
      </c>
      <c r="D418" s="61">
        <v>12</v>
      </c>
      <c r="E418" s="62">
        <v>53.79</v>
      </c>
      <c r="F418" s="62">
        <f>53.79*$G$7</f>
        <v>53.79</v>
      </c>
      <c r="G418" s="62">
        <f>D418*F418</f>
        <v>645.48</v>
      </c>
    </row>
    <row r="419" spans="1:7" s="70" customFormat="1" ht="15" customHeight="1" x14ac:dyDescent="0.25">
      <c r="A419" s="59" t="s">
        <v>850</v>
      </c>
      <c r="B419" s="59" t="s">
        <v>851</v>
      </c>
      <c r="C419" s="60" t="s">
        <v>62</v>
      </c>
      <c r="D419" s="61">
        <v>2</v>
      </c>
      <c r="E419" s="62">
        <v>189.84</v>
      </c>
      <c r="F419" s="62">
        <f>189.84*$G$7</f>
        <v>189.84</v>
      </c>
      <c r="G419" s="62">
        <f>D419*F419</f>
        <v>379.68</v>
      </c>
    </row>
    <row r="420" spans="1:7" ht="15" customHeight="1" x14ac:dyDescent="0.25">
      <c r="A420" s="55" t="s">
        <v>852</v>
      </c>
      <c r="B420" s="55" t="s">
        <v>853</v>
      </c>
      <c r="C420" s="55"/>
      <c r="D420" s="56"/>
      <c r="E420" s="57"/>
      <c r="F420" s="57"/>
      <c r="G420" s="57">
        <f>SUM(G421:G427)</f>
        <v>7837.0400000000009</v>
      </c>
    </row>
    <row r="421" spans="1:7" ht="15" customHeight="1" x14ac:dyDescent="0.25">
      <c r="A421" s="59" t="s">
        <v>854</v>
      </c>
      <c r="B421" s="59" t="s">
        <v>855</v>
      </c>
      <c r="C421" s="60" t="s">
        <v>48</v>
      </c>
      <c r="D421" s="61">
        <v>2</v>
      </c>
      <c r="E421" s="62">
        <v>383.05</v>
      </c>
      <c r="F421" s="62">
        <f>383.05*$G$7</f>
        <v>383.05</v>
      </c>
      <c r="G421" s="62">
        <f t="shared" ref="G421:G427" si="23">D421*F421</f>
        <v>766.1</v>
      </c>
    </row>
    <row r="422" spans="1:7" s="70" customFormat="1" ht="15" customHeight="1" x14ac:dyDescent="0.25">
      <c r="A422" s="59" t="s">
        <v>856</v>
      </c>
      <c r="B422" s="59" t="s">
        <v>857</v>
      </c>
      <c r="C422" s="60" t="s">
        <v>62</v>
      </c>
      <c r="D422" s="61">
        <v>8</v>
      </c>
      <c r="E422" s="62">
        <v>684.93</v>
      </c>
      <c r="F422" s="62">
        <f>684.93*$G$7</f>
        <v>684.93</v>
      </c>
      <c r="G422" s="62">
        <f t="shared" si="23"/>
        <v>5479.44</v>
      </c>
    </row>
    <row r="423" spans="1:7" s="70" customFormat="1" ht="15" customHeight="1" x14ac:dyDescent="0.25">
      <c r="A423" s="59" t="s">
        <v>858</v>
      </c>
      <c r="B423" s="59" t="s">
        <v>859</v>
      </c>
      <c r="C423" s="60" t="s">
        <v>48</v>
      </c>
      <c r="D423" s="61">
        <v>500</v>
      </c>
      <c r="E423" s="62">
        <v>0.09</v>
      </c>
      <c r="F423" s="62">
        <f>0.09*$G$7</f>
        <v>0.09</v>
      </c>
      <c r="G423" s="62">
        <f t="shared" si="23"/>
        <v>45</v>
      </c>
    </row>
    <row r="424" spans="1:7" s="70" customFormat="1" ht="15" customHeight="1" x14ac:dyDescent="0.25">
      <c r="A424" s="59" t="s">
        <v>860</v>
      </c>
      <c r="B424" s="59" t="s">
        <v>861</v>
      </c>
      <c r="C424" s="60" t="s">
        <v>62</v>
      </c>
      <c r="D424" s="61">
        <v>176</v>
      </c>
      <c r="E424" s="62">
        <v>1.29</v>
      </c>
      <c r="F424" s="62">
        <f>1.29*$G$7</f>
        <v>1.29</v>
      </c>
      <c r="G424" s="62">
        <f t="shared" si="23"/>
        <v>227.04000000000002</v>
      </c>
    </row>
    <row r="425" spans="1:7" s="70" customFormat="1" ht="15" customHeight="1" x14ac:dyDescent="0.25">
      <c r="A425" s="59" t="s">
        <v>862</v>
      </c>
      <c r="B425" s="59" t="s">
        <v>863</v>
      </c>
      <c r="C425" s="60" t="s">
        <v>62</v>
      </c>
      <c r="D425" s="61">
        <v>4</v>
      </c>
      <c r="E425" s="62">
        <v>299.68</v>
      </c>
      <c r="F425" s="62">
        <f>299.68*$G$7</f>
        <v>299.68</v>
      </c>
      <c r="G425" s="62">
        <f t="shared" si="23"/>
        <v>1198.72</v>
      </c>
    </row>
    <row r="426" spans="1:7" s="70" customFormat="1" ht="15" customHeight="1" x14ac:dyDescent="0.25">
      <c r="A426" s="59" t="s">
        <v>864</v>
      </c>
      <c r="B426" s="59" t="s">
        <v>865</v>
      </c>
      <c r="C426" s="60" t="s">
        <v>62</v>
      </c>
      <c r="D426" s="61">
        <v>1</v>
      </c>
      <c r="E426" s="62">
        <v>75.680000000000007</v>
      </c>
      <c r="F426" s="62">
        <f>75.68*$G$7</f>
        <v>75.680000000000007</v>
      </c>
      <c r="G426" s="62">
        <f t="shared" si="23"/>
        <v>75.680000000000007</v>
      </c>
    </row>
    <row r="427" spans="1:7" s="70" customFormat="1" ht="15" customHeight="1" x14ac:dyDescent="0.25">
      <c r="A427" s="59" t="s">
        <v>866</v>
      </c>
      <c r="B427" s="59" t="s">
        <v>867</v>
      </c>
      <c r="C427" s="60" t="s">
        <v>48</v>
      </c>
      <c r="D427" s="61">
        <v>2</v>
      </c>
      <c r="E427" s="62">
        <v>22.53</v>
      </c>
      <c r="F427" s="62">
        <f>22.53*$G$7</f>
        <v>22.53</v>
      </c>
      <c r="G427" s="62">
        <f t="shared" si="23"/>
        <v>45.06</v>
      </c>
    </row>
    <row r="428" spans="1:7" ht="15" customHeight="1" x14ac:dyDescent="0.25">
      <c r="A428" s="55" t="s">
        <v>868</v>
      </c>
      <c r="B428" s="55" t="s">
        <v>869</v>
      </c>
      <c r="C428" s="55"/>
      <c r="D428" s="56"/>
      <c r="E428" s="57"/>
      <c r="F428" s="57"/>
      <c r="G428" s="57">
        <f>SUM(G429:G430)</f>
        <v>919.93</v>
      </c>
    </row>
    <row r="429" spans="1:7" ht="15" customHeight="1" x14ac:dyDescent="0.25">
      <c r="A429" s="59" t="s">
        <v>870</v>
      </c>
      <c r="B429" s="59" t="s">
        <v>871</v>
      </c>
      <c r="C429" s="60" t="s">
        <v>48</v>
      </c>
      <c r="D429" s="61">
        <v>1</v>
      </c>
      <c r="E429" s="62">
        <v>369.63</v>
      </c>
      <c r="F429" s="62">
        <f>369.63*$G$7</f>
        <v>369.63</v>
      </c>
      <c r="G429" s="62">
        <f>F429*D429</f>
        <v>369.63</v>
      </c>
    </row>
    <row r="430" spans="1:7" s="70" customFormat="1" ht="15" customHeight="1" x14ac:dyDescent="0.25">
      <c r="A430" s="59" t="s">
        <v>872</v>
      </c>
      <c r="B430" s="59" t="s">
        <v>873</v>
      </c>
      <c r="C430" s="60" t="s">
        <v>48</v>
      </c>
      <c r="D430" s="61">
        <v>10</v>
      </c>
      <c r="E430" s="62">
        <v>55.03</v>
      </c>
      <c r="F430" s="62">
        <f>55.03*$G$7</f>
        <v>55.03</v>
      </c>
      <c r="G430" s="62">
        <f>F430*D430</f>
        <v>550.29999999999995</v>
      </c>
    </row>
    <row r="431" spans="1:7" ht="15" customHeight="1" x14ac:dyDescent="0.25">
      <c r="A431" s="55" t="s">
        <v>874</v>
      </c>
      <c r="B431" s="55" t="s">
        <v>875</v>
      </c>
      <c r="C431" s="55"/>
      <c r="D431" s="56"/>
      <c r="E431" s="57"/>
      <c r="F431" s="57"/>
      <c r="G431" s="57">
        <f>SUM(G432:G436)</f>
        <v>6200.48</v>
      </c>
    </row>
    <row r="432" spans="1:7" ht="30" customHeight="1" x14ac:dyDescent="0.25">
      <c r="A432" s="59" t="s">
        <v>876</v>
      </c>
      <c r="B432" s="59" t="s">
        <v>877</v>
      </c>
      <c r="C432" s="60" t="s">
        <v>48</v>
      </c>
      <c r="D432" s="61">
        <v>96</v>
      </c>
      <c r="E432" s="62">
        <v>9.35</v>
      </c>
      <c r="F432" s="62">
        <f>9.35*$G$7</f>
        <v>9.35</v>
      </c>
      <c r="G432" s="62">
        <f>D432*F432</f>
        <v>897.59999999999991</v>
      </c>
    </row>
    <row r="433" spans="1:7" s="70" customFormat="1" ht="30" customHeight="1" x14ac:dyDescent="0.25">
      <c r="A433" s="59" t="s">
        <v>878</v>
      </c>
      <c r="B433" s="59" t="s">
        <v>879</v>
      </c>
      <c r="C433" s="60" t="s">
        <v>48</v>
      </c>
      <c r="D433" s="61">
        <v>2</v>
      </c>
      <c r="E433" s="62">
        <v>26.86</v>
      </c>
      <c r="F433" s="62">
        <f>26.86*$G$7</f>
        <v>26.86</v>
      </c>
      <c r="G433" s="62">
        <f>D433*F433</f>
        <v>53.72</v>
      </c>
    </row>
    <row r="434" spans="1:7" s="70" customFormat="1" ht="30" customHeight="1" x14ac:dyDescent="0.25">
      <c r="A434" s="59" t="s">
        <v>880</v>
      </c>
      <c r="B434" s="59" t="s">
        <v>881</v>
      </c>
      <c r="C434" s="60" t="s">
        <v>62</v>
      </c>
      <c r="D434" s="61">
        <v>95</v>
      </c>
      <c r="E434" s="62">
        <v>8.43</v>
      </c>
      <c r="F434" s="62">
        <f>8.43*$G$7</f>
        <v>8.43</v>
      </c>
      <c r="G434" s="62">
        <f>D434*F434</f>
        <v>800.85</v>
      </c>
    </row>
    <row r="435" spans="1:7" s="70" customFormat="1" ht="30" customHeight="1" x14ac:dyDescent="0.25">
      <c r="A435" s="59" t="s">
        <v>882</v>
      </c>
      <c r="B435" s="59" t="s">
        <v>883</v>
      </c>
      <c r="C435" s="60" t="s">
        <v>62</v>
      </c>
      <c r="D435" s="61">
        <v>3</v>
      </c>
      <c r="E435" s="62">
        <v>6.32</v>
      </c>
      <c r="F435" s="62">
        <f>6.32*$G$7</f>
        <v>6.32</v>
      </c>
      <c r="G435" s="62">
        <f>D435*F435</f>
        <v>18.96</v>
      </c>
    </row>
    <row r="436" spans="1:7" s="70" customFormat="1" ht="30" customHeight="1" x14ac:dyDescent="0.25">
      <c r="A436" s="59" t="s">
        <v>884</v>
      </c>
      <c r="B436" s="59" t="s">
        <v>885</v>
      </c>
      <c r="C436" s="60" t="s">
        <v>62</v>
      </c>
      <c r="D436" s="61">
        <v>193</v>
      </c>
      <c r="E436" s="62">
        <v>22.95</v>
      </c>
      <c r="F436" s="62">
        <f>22.95*$G$7</f>
        <v>22.95</v>
      </c>
      <c r="G436" s="62">
        <f>D436*F436</f>
        <v>4429.3499999999995</v>
      </c>
    </row>
    <row r="437" spans="1:7" ht="15" customHeight="1" x14ac:dyDescent="0.25">
      <c r="A437" s="55" t="s">
        <v>886</v>
      </c>
      <c r="B437" s="55" t="s">
        <v>566</v>
      </c>
      <c r="C437" s="55"/>
      <c r="D437" s="56"/>
      <c r="E437" s="57"/>
      <c r="F437" s="57"/>
      <c r="G437" s="57">
        <f>SUM(G438:G440)</f>
        <v>33703.82</v>
      </c>
    </row>
    <row r="438" spans="1:7" ht="15" customHeight="1" x14ac:dyDescent="0.25">
      <c r="A438" s="59" t="s">
        <v>887</v>
      </c>
      <c r="B438" s="59" t="s">
        <v>888</v>
      </c>
      <c r="C438" s="60" t="s">
        <v>232</v>
      </c>
      <c r="D438" s="61">
        <v>4350</v>
      </c>
      <c r="E438" s="62">
        <v>5.42</v>
      </c>
      <c r="F438" s="62">
        <f>5.42*$G$7</f>
        <v>5.42</v>
      </c>
      <c r="G438" s="62">
        <f>D438*F438</f>
        <v>23577</v>
      </c>
    </row>
    <row r="439" spans="1:7" s="70" customFormat="1" ht="15" customHeight="1" x14ac:dyDescent="0.25">
      <c r="A439" s="59" t="s">
        <v>889</v>
      </c>
      <c r="B439" s="59" t="s">
        <v>890</v>
      </c>
      <c r="C439" s="60" t="s">
        <v>48</v>
      </c>
      <c r="D439" s="61">
        <v>382</v>
      </c>
      <c r="E439" s="62">
        <v>18.350000000000001</v>
      </c>
      <c r="F439" s="62">
        <f>18.35*$G$7</f>
        <v>18.350000000000001</v>
      </c>
      <c r="G439" s="62">
        <f>D439*F439</f>
        <v>7009.7000000000007</v>
      </c>
    </row>
    <row r="440" spans="1:7" s="70" customFormat="1" ht="24.95" customHeight="1" x14ac:dyDescent="0.25">
      <c r="A440" s="59" t="s">
        <v>891</v>
      </c>
      <c r="B440" s="59" t="s">
        <v>892</v>
      </c>
      <c r="C440" s="60" t="s">
        <v>48</v>
      </c>
      <c r="D440" s="61">
        <v>191</v>
      </c>
      <c r="E440" s="62">
        <v>16.32</v>
      </c>
      <c r="F440" s="62">
        <f>16.32*$G$7</f>
        <v>16.32</v>
      </c>
      <c r="G440" s="62">
        <f>D440*F440</f>
        <v>3117.12</v>
      </c>
    </row>
    <row r="441" spans="1:7" ht="15" customHeight="1" x14ac:dyDescent="0.25">
      <c r="A441" s="55" t="s">
        <v>893</v>
      </c>
      <c r="B441" s="55" t="s">
        <v>763</v>
      </c>
      <c r="C441" s="55"/>
      <c r="D441" s="56"/>
      <c r="E441" s="57"/>
      <c r="F441" s="57"/>
      <c r="G441" s="57">
        <f>SUM(G442:G443)</f>
        <v>2967.44</v>
      </c>
    </row>
    <row r="442" spans="1:7" ht="24.95" customHeight="1" x14ac:dyDescent="0.25">
      <c r="A442" s="59" t="s">
        <v>894</v>
      </c>
      <c r="B442" s="59" t="s">
        <v>895</v>
      </c>
      <c r="C442" s="60" t="s">
        <v>235</v>
      </c>
      <c r="D442" s="61">
        <v>62</v>
      </c>
      <c r="E442" s="62">
        <v>44.62</v>
      </c>
      <c r="F442" s="62">
        <f>44.62*$G$7</f>
        <v>44.62</v>
      </c>
      <c r="G442" s="62">
        <f>D442*F442</f>
        <v>2766.44</v>
      </c>
    </row>
    <row r="443" spans="1:7" s="70" customFormat="1" ht="24.95" customHeight="1" x14ac:dyDescent="0.25">
      <c r="A443" s="59" t="s">
        <v>896</v>
      </c>
      <c r="B443" s="59" t="s">
        <v>897</v>
      </c>
      <c r="C443" s="60" t="s">
        <v>235</v>
      </c>
      <c r="D443" s="61">
        <v>3</v>
      </c>
      <c r="E443" s="62">
        <v>67</v>
      </c>
      <c r="F443" s="62">
        <f>67*$G$7</f>
        <v>67</v>
      </c>
      <c r="G443" s="62">
        <f>D443*F443</f>
        <v>201</v>
      </c>
    </row>
    <row r="444" spans="1:7" ht="15" customHeight="1" x14ac:dyDescent="0.25">
      <c r="A444" s="55" t="s">
        <v>898</v>
      </c>
      <c r="B444" s="55" t="s">
        <v>899</v>
      </c>
      <c r="C444" s="55"/>
      <c r="D444" s="56"/>
      <c r="E444" s="57"/>
      <c r="F444" s="57"/>
      <c r="G444" s="57">
        <f>SUM(G445:G457)</f>
        <v>2362.3599999999997</v>
      </c>
    </row>
    <row r="445" spans="1:7" ht="24.95" customHeight="1" x14ac:dyDescent="0.25">
      <c r="A445" s="59" t="s">
        <v>900</v>
      </c>
      <c r="B445" s="59" t="s">
        <v>901</v>
      </c>
      <c r="C445" s="60" t="s">
        <v>62</v>
      </c>
      <c r="D445" s="61">
        <v>21</v>
      </c>
      <c r="E445" s="62">
        <v>12.32</v>
      </c>
      <c r="F445" s="62">
        <f>12.32*$G$7</f>
        <v>12.32</v>
      </c>
      <c r="G445" s="62">
        <f t="shared" ref="G445:G457" si="24">D445*F445</f>
        <v>258.72000000000003</v>
      </c>
    </row>
    <row r="446" spans="1:7" s="70" customFormat="1" ht="24.95" customHeight="1" x14ac:dyDescent="0.25">
      <c r="A446" s="59" t="s">
        <v>902</v>
      </c>
      <c r="B446" s="59" t="s">
        <v>903</v>
      </c>
      <c r="C446" s="60" t="s">
        <v>62</v>
      </c>
      <c r="D446" s="61">
        <v>4</v>
      </c>
      <c r="E446" s="62">
        <v>20.23</v>
      </c>
      <c r="F446" s="62">
        <f>20.23*$G$7</f>
        <v>20.23</v>
      </c>
      <c r="G446" s="62">
        <f t="shared" si="24"/>
        <v>80.92</v>
      </c>
    </row>
    <row r="447" spans="1:7" s="70" customFormat="1" ht="24.95" customHeight="1" x14ac:dyDescent="0.25">
      <c r="A447" s="59" t="s">
        <v>904</v>
      </c>
      <c r="B447" s="59" t="s">
        <v>905</v>
      </c>
      <c r="C447" s="60" t="s">
        <v>62</v>
      </c>
      <c r="D447" s="61">
        <v>2</v>
      </c>
      <c r="E447" s="62">
        <v>21.22</v>
      </c>
      <c r="F447" s="62">
        <f>21.22*$G$7</f>
        <v>21.22</v>
      </c>
      <c r="G447" s="62">
        <f t="shared" si="24"/>
        <v>42.44</v>
      </c>
    </row>
    <row r="448" spans="1:7" s="70" customFormat="1" ht="24.95" customHeight="1" x14ac:dyDescent="0.25">
      <c r="A448" s="59" t="s">
        <v>906</v>
      </c>
      <c r="B448" s="59" t="s">
        <v>907</v>
      </c>
      <c r="C448" s="60" t="s">
        <v>62</v>
      </c>
      <c r="D448" s="61">
        <v>1</v>
      </c>
      <c r="E448" s="62">
        <v>46.24</v>
      </c>
      <c r="F448" s="62">
        <f>46.24*$G$7</f>
        <v>46.24</v>
      </c>
      <c r="G448" s="62">
        <f t="shared" si="24"/>
        <v>46.24</v>
      </c>
    </row>
    <row r="449" spans="1:7" s="70" customFormat="1" ht="24.95" customHeight="1" x14ac:dyDescent="0.25">
      <c r="A449" s="59" t="s">
        <v>908</v>
      </c>
      <c r="B449" s="59" t="s">
        <v>909</v>
      </c>
      <c r="C449" s="60" t="s">
        <v>62</v>
      </c>
      <c r="D449" s="61">
        <v>1</v>
      </c>
      <c r="E449" s="62">
        <v>66.12</v>
      </c>
      <c r="F449" s="62">
        <f>66.12*$G$7</f>
        <v>66.12</v>
      </c>
      <c r="G449" s="62">
        <f t="shared" si="24"/>
        <v>66.12</v>
      </c>
    </row>
    <row r="450" spans="1:7" s="70" customFormat="1" ht="24.95" customHeight="1" x14ac:dyDescent="0.25">
      <c r="A450" s="59" t="s">
        <v>910</v>
      </c>
      <c r="B450" s="59" t="s">
        <v>911</v>
      </c>
      <c r="C450" s="60" t="s">
        <v>62</v>
      </c>
      <c r="D450" s="61">
        <v>2</v>
      </c>
      <c r="E450" s="62">
        <v>35.78</v>
      </c>
      <c r="F450" s="62">
        <f>35.78*$G$7</f>
        <v>35.78</v>
      </c>
      <c r="G450" s="62">
        <f t="shared" si="24"/>
        <v>71.56</v>
      </c>
    </row>
    <row r="451" spans="1:7" s="70" customFormat="1" ht="24.95" customHeight="1" x14ac:dyDescent="0.25">
      <c r="A451" s="59" t="s">
        <v>912</v>
      </c>
      <c r="B451" s="59" t="s">
        <v>781</v>
      </c>
      <c r="C451" s="60" t="s">
        <v>62</v>
      </c>
      <c r="D451" s="61">
        <v>3</v>
      </c>
      <c r="E451" s="62">
        <v>4.66</v>
      </c>
      <c r="F451" s="62">
        <f>4.66*$G$7</f>
        <v>4.66</v>
      </c>
      <c r="G451" s="62">
        <f t="shared" si="24"/>
        <v>13.98</v>
      </c>
    </row>
    <row r="452" spans="1:7" s="70" customFormat="1" ht="24.95" customHeight="1" x14ac:dyDescent="0.25">
      <c r="A452" s="59" t="s">
        <v>913</v>
      </c>
      <c r="B452" s="59" t="s">
        <v>783</v>
      </c>
      <c r="C452" s="60" t="s">
        <v>62</v>
      </c>
      <c r="D452" s="61">
        <v>8</v>
      </c>
      <c r="E452" s="62">
        <v>7.3</v>
      </c>
      <c r="F452" s="62">
        <f>7.3*$G$7</f>
        <v>7.3</v>
      </c>
      <c r="G452" s="62">
        <f t="shared" si="24"/>
        <v>58.4</v>
      </c>
    </row>
    <row r="453" spans="1:7" s="70" customFormat="1" ht="24.95" customHeight="1" x14ac:dyDescent="0.25">
      <c r="A453" s="59" t="s">
        <v>914</v>
      </c>
      <c r="B453" s="59" t="s">
        <v>785</v>
      </c>
      <c r="C453" s="60" t="s">
        <v>62</v>
      </c>
      <c r="D453" s="61">
        <v>18</v>
      </c>
      <c r="E453" s="62">
        <v>11.3</v>
      </c>
      <c r="F453" s="62">
        <f>11.3*$G$7</f>
        <v>11.3</v>
      </c>
      <c r="G453" s="62">
        <f t="shared" si="24"/>
        <v>203.4</v>
      </c>
    </row>
    <row r="454" spans="1:7" s="70" customFormat="1" ht="24.95" customHeight="1" x14ac:dyDescent="0.25">
      <c r="A454" s="59" t="s">
        <v>915</v>
      </c>
      <c r="B454" s="59" t="s">
        <v>787</v>
      </c>
      <c r="C454" s="60" t="s">
        <v>62</v>
      </c>
      <c r="D454" s="61">
        <v>1</v>
      </c>
      <c r="E454" s="62">
        <v>7.57</v>
      </c>
      <c r="F454" s="62">
        <f>7.57*$G$7</f>
        <v>7.57</v>
      </c>
      <c r="G454" s="62">
        <f t="shared" si="24"/>
        <v>7.57</v>
      </c>
    </row>
    <row r="455" spans="1:7" s="70" customFormat="1" ht="24.95" customHeight="1" x14ac:dyDescent="0.25">
      <c r="A455" s="59" t="s">
        <v>916</v>
      </c>
      <c r="B455" s="59" t="s">
        <v>917</v>
      </c>
      <c r="C455" s="60" t="s">
        <v>62</v>
      </c>
      <c r="D455" s="61">
        <v>62</v>
      </c>
      <c r="E455" s="62">
        <v>12.93</v>
      </c>
      <c r="F455" s="62">
        <f>12.93*$G$7</f>
        <v>12.93</v>
      </c>
      <c r="G455" s="62">
        <f t="shared" si="24"/>
        <v>801.66</v>
      </c>
    </row>
    <row r="456" spans="1:7" s="70" customFormat="1" ht="24.95" customHeight="1" x14ac:dyDescent="0.25">
      <c r="A456" s="59" t="s">
        <v>918</v>
      </c>
      <c r="B456" s="59" t="s">
        <v>919</v>
      </c>
      <c r="C456" s="60" t="s">
        <v>62</v>
      </c>
      <c r="D456" s="61">
        <v>3</v>
      </c>
      <c r="E456" s="62">
        <v>14.6</v>
      </c>
      <c r="F456" s="62">
        <f>14.6*$G$7</f>
        <v>14.6</v>
      </c>
      <c r="G456" s="62">
        <f t="shared" si="24"/>
        <v>43.8</v>
      </c>
    </row>
    <row r="457" spans="1:7" s="70" customFormat="1" ht="24.95" customHeight="1" x14ac:dyDescent="0.25">
      <c r="A457" s="59" t="s">
        <v>920</v>
      </c>
      <c r="B457" s="59" t="s">
        <v>921</v>
      </c>
      <c r="C457" s="60" t="s">
        <v>587</v>
      </c>
      <c r="D457" s="61">
        <v>65</v>
      </c>
      <c r="E457" s="62">
        <v>10.27</v>
      </c>
      <c r="F457" s="62">
        <f>10.27*$G$7</f>
        <v>10.27</v>
      </c>
      <c r="G457" s="62">
        <f t="shared" si="24"/>
        <v>667.55</v>
      </c>
    </row>
    <row r="458" spans="1:7" ht="15" customHeight="1" x14ac:dyDescent="0.25">
      <c r="A458" s="55" t="s">
        <v>922</v>
      </c>
      <c r="B458" s="55" t="s">
        <v>923</v>
      </c>
      <c r="C458" s="55"/>
      <c r="D458" s="56"/>
      <c r="E458" s="57"/>
      <c r="F458" s="57"/>
      <c r="G458" s="57">
        <f>SUM(G459:G472)</f>
        <v>8888.4035000000003</v>
      </c>
    </row>
    <row r="459" spans="1:7" ht="24.95" customHeight="1" x14ac:dyDescent="0.25">
      <c r="A459" s="59" t="s">
        <v>924</v>
      </c>
      <c r="B459" s="59" t="s">
        <v>615</v>
      </c>
      <c r="C459" s="60" t="s">
        <v>232</v>
      </c>
      <c r="D459" s="61">
        <v>116</v>
      </c>
      <c r="E459" s="62">
        <v>11.11</v>
      </c>
      <c r="F459" s="62">
        <f>11.11*$G$7</f>
        <v>11.11</v>
      </c>
      <c r="G459" s="62">
        <f t="shared" ref="G459:G472" si="25">D459*F459</f>
        <v>1288.76</v>
      </c>
    </row>
    <row r="460" spans="1:7" s="70" customFormat="1" ht="24.95" customHeight="1" x14ac:dyDescent="0.25">
      <c r="A460" s="59" t="s">
        <v>925</v>
      </c>
      <c r="B460" s="59" t="s">
        <v>748</v>
      </c>
      <c r="C460" s="60" t="s">
        <v>232</v>
      </c>
      <c r="D460" s="61">
        <v>77</v>
      </c>
      <c r="E460" s="62">
        <v>13.9</v>
      </c>
      <c r="F460" s="62">
        <f>13.9*$G$7</f>
        <v>13.9</v>
      </c>
      <c r="G460" s="62">
        <f t="shared" si="25"/>
        <v>1070.3</v>
      </c>
    </row>
    <row r="461" spans="1:7" s="70" customFormat="1" ht="24.95" customHeight="1" x14ac:dyDescent="0.25">
      <c r="A461" s="59" t="s">
        <v>926</v>
      </c>
      <c r="B461" s="59" t="s">
        <v>750</v>
      </c>
      <c r="C461" s="60" t="s">
        <v>232</v>
      </c>
      <c r="D461" s="61">
        <v>3</v>
      </c>
      <c r="E461" s="62">
        <v>16.690000000000001</v>
      </c>
      <c r="F461" s="62">
        <f>16.69*$G$7</f>
        <v>16.690000000000001</v>
      </c>
      <c r="G461" s="62">
        <f t="shared" si="25"/>
        <v>50.070000000000007</v>
      </c>
    </row>
    <row r="462" spans="1:7" s="70" customFormat="1" ht="24.95" customHeight="1" x14ac:dyDescent="0.25">
      <c r="A462" s="59" t="s">
        <v>927</v>
      </c>
      <c r="B462" s="59" t="s">
        <v>928</v>
      </c>
      <c r="C462" s="60" t="s">
        <v>48</v>
      </c>
      <c r="D462" s="61">
        <v>35</v>
      </c>
      <c r="E462" s="62">
        <v>13.76</v>
      </c>
      <c r="F462" s="62">
        <f>13.76*$G$7</f>
        <v>13.76</v>
      </c>
      <c r="G462" s="62">
        <f t="shared" si="25"/>
        <v>481.59999999999997</v>
      </c>
    </row>
    <row r="463" spans="1:7" s="70" customFormat="1" ht="24.95" customHeight="1" x14ac:dyDescent="0.25">
      <c r="A463" s="59" t="s">
        <v>929</v>
      </c>
      <c r="B463" s="59" t="s">
        <v>930</v>
      </c>
      <c r="C463" s="60" t="s">
        <v>48</v>
      </c>
      <c r="D463" s="61">
        <v>25</v>
      </c>
      <c r="E463" s="62">
        <v>16.52</v>
      </c>
      <c r="F463" s="62">
        <f>16.52*$G$7</f>
        <v>16.52</v>
      </c>
      <c r="G463" s="62">
        <f t="shared" si="25"/>
        <v>413</v>
      </c>
    </row>
    <row r="464" spans="1:7" s="70" customFormat="1" ht="24.95" customHeight="1" x14ac:dyDescent="0.25">
      <c r="A464" s="59" t="s">
        <v>931</v>
      </c>
      <c r="B464" s="59" t="s">
        <v>932</v>
      </c>
      <c r="C464" s="60" t="s">
        <v>48</v>
      </c>
      <c r="D464" s="61">
        <v>1</v>
      </c>
      <c r="E464" s="62">
        <v>18.829999999999998</v>
      </c>
      <c r="F464" s="62">
        <f>18.83*$G$7</f>
        <v>18.829999999999998</v>
      </c>
      <c r="G464" s="62">
        <f t="shared" si="25"/>
        <v>18.829999999999998</v>
      </c>
    </row>
    <row r="465" spans="1:7" s="70" customFormat="1" ht="24.95" customHeight="1" x14ac:dyDescent="0.25">
      <c r="A465" s="59" t="s">
        <v>933</v>
      </c>
      <c r="B465" s="59" t="s">
        <v>934</v>
      </c>
      <c r="C465" s="60" t="s">
        <v>48</v>
      </c>
      <c r="D465" s="61">
        <v>2</v>
      </c>
      <c r="E465" s="62">
        <v>26.02</v>
      </c>
      <c r="F465" s="62">
        <f>26.02*$G$7</f>
        <v>26.02</v>
      </c>
      <c r="G465" s="62">
        <f t="shared" si="25"/>
        <v>52.04</v>
      </c>
    </row>
    <row r="466" spans="1:7" s="70" customFormat="1" ht="24.95" customHeight="1" x14ac:dyDescent="0.25">
      <c r="A466" s="59" t="s">
        <v>935</v>
      </c>
      <c r="B466" s="59" t="s">
        <v>675</v>
      </c>
      <c r="C466" s="60" t="s">
        <v>122</v>
      </c>
      <c r="D466" s="61">
        <v>15.3</v>
      </c>
      <c r="E466" s="62">
        <v>72.64</v>
      </c>
      <c r="F466" s="62">
        <f>72.64*$G$7</f>
        <v>72.64</v>
      </c>
      <c r="G466" s="62">
        <f t="shared" si="25"/>
        <v>1111.3920000000001</v>
      </c>
    </row>
    <row r="467" spans="1:7" s="70" customFormat="1" ht="35.1" customHeight="1" x14ac:dyDescent="0.25">
      <c r="A467" s="59" t="s">
        <v>936</v>
      </c>
      <c r="B467" s="59" t="s">
        <v>937</v>
      </c>
      <c r="C467" s="60" t="s">
        <v>122</v>
      </c>
      <c r="D467" s="61">
        <v>2.5499999999999998</v>
      </c>
      <c r="E467" s="62">
        <v>203.13</v>
      </c>
      <c r="F467" s="62">
        <f>203.13*$G$7</f>
        <v>203.13</v>
      </c>
      <c r="G467" s="62">
        <f t="shared" si="25"/>
        <v>517.98149999999998</v>
      </c>
    </row>
    <row r="468" spans="1:7" s="70" customFormat="1" ht="35.1" customHeight="1" x14ac:dyDescent="0.25">
      <c r="A468" s="59" t="s">
        <v>938</v>
      </c>
      <c r="B468" s="59" t="s">
        <v>939</v>
      </c>
      <c r="C468" s="60" t="s">
        <v>232</v>
      </c>
      <c r="D468" s="61">
        <v>70</v>
      </c>
      <c r="E468" s="62">
        <v>10.6</v>
      </c>
      <c r="F468" s="62">
        <f>10.6*$G$7</f>
        <v>10.6</v>
      </c>
      <c r="G468" s="62">
        <f t="shared" si="25"/>
        <v>742</v>
      </c>
    </row>
    <row r="469" spans="1:7" s="70" customFormat="1" ht="24.95" customHeight="1" x14ac:dyDescent="0.25">
      <c r="A469" s="59" t="s">
        <v>940</v>
      </c>
      <c r="B469" s="59" t="s">
        <v>941</v>
      </c>
      <c r="C469" s="60" t="s">
        <v>232</v>
      </c>
      <c r="D469" s="61">
        <v>131</v>
      </c>
      <c r="E469" s="62">
        <v>17.84</v>
      </c>
      <c r="F469" s="62">
        <f>17.84*$G$7</f>
        <v>17.84</v>
      </c>
      <c r="G469" s="62">
        <f t="shared" si="25"/>
        <v>2337.04</v>
      </c>
    </row>
    <row r="470" spans="1:7" s="70" customFormat="1" ht="24.95" customHeight="1" x14ac:dyDescent="0.25">
      <c r="A470" s="59" t="s">
        <v>942</v>
      </c>
      <c r="B470" s="59" t="s">
        <v>685</v>
      </c>
      <c r="C470" s="60" t="s">
        <v>122</v>
      </c>
      <c r="D470" s="61">
        <v>12.8</v>
      </c>
      <c r="E470" s="62">
        <v>55.1</v>
      </c>
      <c r="F470" s="62">
        <f>55.1*$G$7</f>
        <v>55.1</v>
      </c>
      <c r="G470" s="62">
        <f t="shared" si="25"/>
        <v>705.28000000000009</v>
      </c>
    </row>
    <row r="471" spans="1:7" s="70" customFormat="1" ht="35.1" customHeight="1" x14ac:dyDescent="0.25">
      <c r="A471" s="59" t="s">
        <v>943</v>
      </c>
      <c r="B471" s="59" t="s">
        <v>126</v>
      </c>
      <c r="C471" s="60" t="s">
        <v>122</v>
      </c>
      <c r="D471" s="61">
        <v>7.1</v>
      </c>
      <c r="E471" s="62">
        <v>1.9</v>
      </c>
      <c r="F471" s="62">
        <f>1.9*$G$7</f>
        <v>1.9</v>
      </c>
      <c r="G471" s="62">
        <f t="shared" si="25"/>
        <v>13.489999999999998</v>
      </c>
    </row>
    <row r="472" spans="1:7" s="70" customFormat="1" ht="24.95" customHeight="1" x14ac:dyDescent="0.25">
      <c r="A472" s="59" t="s">
        <v>944</v>
      </c>
      <c r="B472" s="59" t="s">
        <v>128</v>
      </c>
      <c r="C472" s="60" t="s">
        <v>129</v>
      </c>
      <c r="D472" s="61">
        <v>71</v>
      </c>
      <c r="E472" s="62">
        <v>1.22</v>
      </c>
      <c r="F472" s="62">
        <f>1.22*$G$7</f>
        <v>1.22</v>
      </c>
      <c r="G472" s="62">
        <f t="shared" si="25"/>
        <v>86.62</v>
      </c>
    </row>
    <row r="473" spans="1:7" ht="15" customHeight="1" x14ac:dyDescent="0.25">
      <c r="A473" s="55" t="s">
        <v>945</v>
      </c>
      <c r="B473" s="55" t="s">
        <v>946</v>
      </c>
      <c r="C473" s="55"/>
      <c r="D473" s="56"/>
      <c r="E473" s="57"/>
      <c r="F473" s="57"/>
      <c r="G473" s="57">
        <f>SUM(G474:G477)</f>
        <v>2808.33</v>
      </c>
    </row>
    <row r="474" spans="1:7" ht="30" customHeight="1" x14ac:dyDescent="0.25">
      <c r="A474" s="59" t="s">
        <v>947</v>
      </c>
      <c r="B474" s="59" t="s">
        <v>948</v>
      </c>
      <c r="C474" s="60" t="s">
        <v>232</v>
      </c>
      <c r="D474" s="61">
        <v>58</v>
      </c>
      <c r="E474" s="62">
        <v>10.6</v>
      </c>
      <c r="F474" s="62">
        <f>10.6*$G$7</f>
        <v>10.6</v>
      </c>
      <c r="G474" s="62">
        <f>D474*F474</f>
        <v>614.79999999999995</v>
      </c>
    </row>
    <row r="475" spans="1:7" s="70" customFormat="1" ht="30" customHeight="1" x14ac:dyDescent="0.25">
      <c r="A475" s="59" t="s">
        <v>949</v>
      </c>
      <c r="B475" s="59" t="s">
        <v>950</v>
      </c>
      <c r="C475" s="60" t="s">
        <v>232</v>
      </c>
      <c r="D475" s="61">
        <v>64</v>
      </c>
      <c r="E475" s="62">
        <v>12.87</v>
      </c>
      <c r="F475" s="62">
        <f>12.87*$G$7</f>
        <v>12.87</v>
      </c>
      <c r="G475" s="62">
        <f>D475*F475</f>
        <v>823.68</v>
      </c>
    </row>
    <row r="476" spans="1:7" s="70" customFormat="1" ht="30" customHeight="1" x14ac:dyDescent="0.25">
      <c r="A476" s="59" t="s">
        <v>951</v>
      </c>
      <c r="B476" s="59" t="s">
        <v>952</v>
      </c>
      <c r="C476" s="60" t="s">
        <v>232</v>
      </c>
      <c r="D476" s="61">
        <v>68</v>
      </c>
      <c r="E476" s="62">
        <v>19.829999999999998</v>
      </c>
      <c r="F476" s="62">
        <f>19.83*$G$7</f>
        <v>19.829999999999998</v>
      </c>
      <c r="G476" s="62">
        <f>D476*F476</f>
        <v>1348.4399999999998</v>
      </c>
    </row>
    <row r="477" spans="1:7" s="70" customFormat="1" ht="30" customHeight="1" x14ac:dyDescent="0.25">
      <c r="A477" s="59" t="s">
        <v>953</v>
      </c>
      <c r="B477" s="59" t="s">
        <v>954</v>
      </c>
      <c r="C477" s="60" t="s">
        <v>232</v>
      </c>
      <c r="D477" s="61">
        <v>1</v>
      </c>
      <c r="E477" s="62">
        <v>21.41</v>
      </c>
      <c r="F477" s="62">
        <f>21.41*$G$7</f>
        <v>21.41</v>
      </c>
      <c r="G477" s="62">
        <f>D477*F477</f>
        <v>21.41</v>
      </c>
    </row>
    <row r="478" spans="1:7" ht="15" customHeight="1" x14ac:dyDescent="0.25">
      <c r="A478" s="55" t="s">
        <v>955</v>
      </c>
      <c r="B478" s="55" t="s">
        <v>956</v>
      </c>
      <c r="C478" s="55"/>
      <c r="D478" s="56"/>
      <c r="E478" s="57"/>
      <c r="F478" s="57"/>
      <c r="G478" s="57">
        <f>SUM(G479)</f>
        <v>1955.8400000000001</v>
      </c>
    </row>
    <row r="479" spans="1:7" ht="15" customHeight="1" x14ac:dyDescent="0.25">
      <c r="A479" s="59" t="s">
        <v>957</v>
      </c>
      <c r="B479" s="59" t="s">
        <v>958</v>
      </c>
      <c r="C479" s="60" t="s">
        <v>587</v>
      </c>
      <c r="D479" s="61">
        <v>191</v>
      </c>
      <c r="E479" s="62">
        <v>10.24</v>
      </c>
      <c r="F479" s="62">
        <f>10.24*$G$7</f>
        <v>10.24</v>
      </c>
      <c r="G479" s="62">
        <f>D479*F479</f>
        <v>1955.8400000000001</v>
      </c>
    </row>
    <row r="480" spans="1:7" ht="15" customHeight="1" x14ac:dyDescent="0.25">
      <c r="A480" s="55" t="s">
        <v>959</v>
      </c>
      <c r="B480" s="55" t="s">
        <v>960</v>
      </c>
      <c r="C480" s="55"/>
      <c r="D480" s="56"/>
      <c r="E480" s="57"/>
      <c r="F480" s="57"/>
      <c r="G480" s="57">
        <f>SUM(G481:G488)</f>
        <v>4928.0599999999995</v>
      </c>
    </row>
    <row r="481" spans="1:7" ht="24.95" customHeight="1" x14ac:dyDescent="0.25">
      <c r="A481" s="59" t="s">
        <v>961</v>
      </c>
      <c r="B481" s="59" t="s">
        <v>817</v>
      </c>
      <c r="C481" s="60" t="s">
        <v>48</v>
      </c>
      <c r="D481" s="61">
        <v>7</v>
      </c>
      <c r="E481" s="62">
        <v>12.35</v>
      </c>
      <c r="F481" s="62">
        <f>12.35*$G$7</f>
        <v>12.35</v>
      </c>
      <c r="G481" s="62">
        <f t="shared" ref="G481:G488" si="26">D481*F481</f>
        <v>86.45</v>
      </c>
    </row>
    <row r="482" spans="1:7" s="70" customFormat="1" ht="24.95" customHeight="1" x14ac:dyDescent="0.25">
      <c r="A482" s="59" t="s">
        <v>962</v>
      </c>
      <c r="B482" s="59" t="s">
        <v>825</v>
      </c>
      <c r="C482" s="60" t="s">
        <v>48</v>
      </c>
      <c r="D482" s="61">
        <v>44</v>
      </c>
      <c r="E482" s="62">
        <v>73.23</v>
      </c>
      <c r="F482" s="62">
        <f>73.23*$G$7</f>
        <v>73.23</v>
      </c>
      <c r="G482" s="62">
        <f t="shared" si="26"/>
        <v>3222.1200000000003</v>
      </c>
    </row>
    <row r="483" spans="1:7" s="70" customFormat="1" ht="24.95" customHeight="1" x14ac:dyDescent="0.25">
      <c r="A483" s="59" t="s">
        <v>963</v>
      </c>
      <c r="B483" s="59" t="s">
        <v>827</v>
      </c>
      <c r="C483" s="60" t="s">
        <v>48</v>
      </c>
      <c r="D483" s="61">
        <v>2</v>
      </c>
      <c r="E483" s="62">
        <v>54.28</v>
      </c>
      <c r="F483" s="62">
        <f>54.28*$G$7</f>
        <v>54.28</v>
      </c>
      <c r="G483" s="62">
        <f t="shared" si="26"/>
        <v>108.56</v>
      </c>
    </row>
    <row r="484" spans="1:7" s="70" customFormat="1" ht="24.95" customHeight="1" x14ac:dyDescent="0.25">
      <c r="A484" s="59" t="s">
        <v>964</v>
      </c>
      <c r="B484" s="59" t="s">
        <v>965</v>
      </c>
      <c r="C484" s="60" t="s">
        <v>48</v>
      </c>
      <c r="D484" s="61">
        <v>1</v>
      </c>
      <c r="E484" s="62">
        <v>80.11</v>
      </c>
      <c r="F484" s="62">
        <f>80.11*$G$7</f>
        <v>80.11</v>
      </c>
      <c r="G484" s="62">
        <f t="shared" si="26"/>
        <v>80.11</v>
      </c>
    </row>
    <row r="485" spans="1:7" s="70" customFormat="1" ht="24.95" customHeight="1" x14ac:dyDescent="0.25">
      <c r="A485" s="59" t="s">
        <v>966</v>
      </c>
      <c r="B485" s="59" t="s">
        <v>967</v>
      </c>
      <c r="C485" s="60" t="s">
        <v>48</v>
      </c>
      <c r="D485" s="61">
        <v>1</v>
      </c>
      <c r="E485" s="62">
        <v>134.44999999999999</v>
      </c>
      <c r="F485" s="62">
        <f>134.45*$G$7</f>
        <v>134.44999999999999</v>
      </c>
      <c r="G485" s="62">
        <f t="shared" si="26"/>
        <v>134.44999999999999</v>
      </c>
    </row>
    <row r="486" spans="1:7" s="70" customFormat="1" ht="24.95" customHeight="1" x14ac:dyDescent="0.25">
      <c r="A486" s="59" t="s">
        <v>968</v>
      </c>
      <c r="B486" s="59" t="s">
        <v>969</v>
      </c>
      <c r="C486" s="60" t="s">
        <v>48</v>
      </c>
      <c r="D486" s="61">
        <v>1</v>
      </c>
      <c r="E486" s="62">
        <v>14.31</v>
      </c>
      <c r="F486" s="62">
        <f>14.31*$G$7</f>
        <v>14.31</v>
      </c>
      <c r="G486" s="62">
        <f t="shared" si="26"/>
        <v>14.31</v>
      </c>
    </row>
    <row r="487" spans="1:7" s="70" customFormat="1" ht="45" customHeight="1" x14ac:dyDescent="0.25">
      <c r="A487" s="59" t="s">
        <v>970</v>
      </c>
      <c r="B487" s="59" t="s">
        <v>971</v>
      </c>
      <c r="C487" s="60" t="s">
        <v>48</v>
      </c>
      <c r="D487" s="61">
        <v>6</v>
      </c>
      <c r="E487" s="62">
        <v>176.29</v>
      </c>
      <c r="F487" s="62">
        <f>176.29*$G$7</f>
        <v>176.29</v>
      </c>
      <c r="G487" s="62">
        <f t="shared" si="26"/>
        <v>1057.74</v>
      </c>
    </row>
    <row r="488" spans="1:7" s="70" customFormat="1" ht="24.95" customHeight="1" x14ac:dyDescent="0.25">
      <c r="A488" s="59" t="s">
        <v>972</v>
      </c>
      <c r="B488" s="59" t="s">
        <v>837</v>
      </c>
      <c r="C488" s="60" t="s">
        <v>62</v>
      </c>
      <c r="D488" s="61">
        <v>1</v>
      </c>
      <c r="E488" s="62">
        <v>224.32</v>
      </c>
      <c r="F488" s="62">
        <f>224.32*$G$7</f>
        <v>224.32</v>
      </c>
      <c r="G488" s="62">
        <f t="shared" si="26"/>
        <v>224.32</v>
      </c>
    </row>
    <row r="489" spans="1:7" ht="15" customHeight="1" x14ac:dyDescent="0.25">
      <c r="A489" s="55" t="s">
        <v>973</v>
      </c>
      <c r="B489" s="55" t="s">
        <v>974</v>
      </c>
      <c r="C489" s="55"/>
      <c r="D489" s="56"/>
      <c r="E489" s="57"/>
      <c r="F489" s="57"/>
      <c r="G489" s="57">
        <f>SUM(G490:G493)</f>
        <v>594.68600000000004</v>
      </c>
    </row>
    <row r="490" spans="1:7" ht="15" customHeight="1" x14ac:dyDescent="0.25">
      <c r="A490" s="59" t="s">
        <v>975</v>
      </c>
      <c r="B490" s="59" t="s">
        <v>976</v>
      </c>
      <c r="C490" s="60" t="s">
        <v>62</v>
      </c>
      <c r="D490" s="61">
        <v>1</v>
      </c>
      <c r="E490" s="62">
        <v>26.09</v>
      </c>
      <c r="F490" s="62">
        <f>26.09*$G$7</f>
        <v>26.09</v>
      </c>
      <c r="G490" s="62">
        <f>D490*F490</f>
        <v>26.09</v>
      </c>
    </row>
    <row r="491" spans="1:7" s="70" customFormat="1" ht="15" customHeight="1" x14ac:dyDescent="0.25">
      <c r="A491" s="59" t="s">
        <v>977</v>
      </c>
      <c r="B491" s="59" t="s">
        <v>978</v>
      </c>
      <c r="C491" s="60" t="s">
        <v>156</v>
      </c>
      <c r="D491" s="61">
        <v>1</v>
      </c>
      <c r="E491" s="62">
        <v>15.6</v>
      </c>
      <c r="F491" s="62">
        <f>15.6*$G$7</f>
        <v>15.6</v>
      </c>
      <c r="G491" s="62">
        <f>D491*F491</f>
        <v>15.6</v>
      </c>
    </row>
    <row r="492" spans="1:7" s="70" customFormat="1" ht="15" customHeight="1" x14ac:dyDescent="0.25">
      <c r="A492" s="59" t="s">
        <v>979</v>
      </c>
      <c r="B492" s="59" t="s">
        <v>980</v>
      </c>
      <c r="C492" s="60" t="s">
        <v>232</v>
      </c>
      <c r="D492" s="61">
        <v>5.2</v>
      </c>
      <c r="E492" s="62">
        <v>89.78</v>
      </c>
      <c r="F492" s="62">
        <f>89.78*$G$7</f>
        <v>89.78</v>
      </c>
      <c r="G492" s="62">
        <f>D492*F492</f>
        <v>466.85599999999999</v>
      </c>
    </row>
    <row r="493" spans="1:7" s="70" customFormat="1" ht="15" customHeight="1" x14ac:dyDescent="0.25">
      <c r="A493" s="59" t="s">
        <v>981</v>
      </c>
      <c r="B493" s="59" t="s">
        <v>982</v>
      </c>
      <c r="C493" s="60" t="s">
        <v>62</v>
      </c>
      <c r="D493" s="61">
        <v>1</v>
      </c>
      <c r="E493" s="62">
        <v>86.14</v>
      </c>
      <c r="F493" s="62">
        <f>86.14*$G$7</f>
        <v>86.14</v>
      </c>
      <c r="G493" s="62">
        <f>D493*F493</f>
        <v>86.14</v>
      </c>
    </row>
    <row r="494" spans="1:7" ht="15" customHeight="1" x14ac:dyDescent="0.25">
      <c r="A494" s="55" t="s">
        <v>983</v>
      </c>
      <c r="B494" s="55" t="s">
        <v>984</v>
      </c>
      <c r="C494" s="55"/>
      <c r="D494" s="56"/>
      <c r="E494" s="57"/>
      <c r="F494" s="57"/>
      <c r="G494" s="57">
        <f>SUM(G495:G519)</f>
        <v>42680.092999999993</v>
      </c>
    </row>
    <row r="495" spans="1:7" ht="24.95" customHeight="1" x14ac:dyDescent="0.25">
      <c r="A495" s="59" t="s">
        <v>985</v>
      </c>
      <c r="B495" s="59" t="s">
        <v>986</v>
      </c>
      <c r="C495" s="60" t="s">
        <v>62</v>
      </c>
      <c r="D495" s="61">
        <v>4</v>
      </c>
      <c r="E495" s="62">
        <v>27.7</v>
      </c>
      <c r="F495" s="62">
        <f>27.7*$G$7</f>
        <v>27.7</v>
      </c>
      <c r="G495" s="62">
        <f t="shared" ref="G495:G519" si="27">D495*F495</f>
        <v>110.8</v>
      </c>
    </row>
    <row r="496" spans="1:7" s="70" customFormat="1" ht="24.95" customHeight="1" x14ac:dyDescent="0.25">
      <c r="A496" s="59" t="s">
        <v>987</v>
      </c>
      <c r="B496" s="59" t="s">
        <v>624</v>
      </c>
      <c r="C496" s="60" t="s">
        <v>625</v>
      </c>
      <c r="D496" s="61">
        <v>4</v>
      </c>
      <c r="E496" s="62">
        <v>158.41</v>
      </c>
      <c r="F496" s="62">
        <f>158.41*$G$7</f>
        <v>158.41</v>
      </c>
      <c r="G496" s="62">
        <f t="shared" si="27"/>
        <v>633.64</v>
      </c>
    </row>
    <row r="497" spans="1:7" s="70" customFormat="1" ht="24.95" customHeight="1" x14ac:dyDescent="0.25">
      <c r="A497" s="59" t="s">
        <v>988</v>
      </c>
      <c r="B497" s="59" t="s">
        <v>989</v>
      </c>
      <c r="C497" s="60" t="s">
        <v>48</v>
      </c>
      <c r="D497" s="61">
        <v>25</v>
      </c>
      <c r="E497" s="62">
        <v>60.1</v>
      </c>
      <c r="F497" s="62">
        <f>60.1*$G$7</f>
        <v>60.1</v>
      </c>
      <c r="G497" s="62">
        <f t="shared" si="27"/>
        <v>1502.5</v>
      </c>
    </row>
    <row r="498" spans="1:7" s="70" customFormat="1" ht="24.95" customHeight="1" x14ac:dyDescent="0.25">
      <c r="A498" s="59" t="s">
        <v>990</v>
      </c>
      <c r="B498" s="59" t="s">
        <v>991</v>
      </c>
      <c r="C498" s="60" t="s">
        <v>235</v>
      </c>
      <c r="D498" s="61">
        <v>1</v>
      </c>
      <c r="E498" s="62">
        <v>458.27</v>
      </c>
      <c r="F498" s="62">
        <f>458.27*$G$7</f>
        <v>458.27</v>
      </c>
      <c r="G498" s="62">
        <f t="shared" si="27"/>
        <v>458.27</v>
      </c>
    </row>
    <row r="499" spans="1:7" s="70" customFormat="1" ht="15" customHeight="1" x14ac:dyDescent="0.25">
      <c r="A499" s="59" t="s">
        <v>992</v>
      </c>
      <c r="B499" s="59" t="s">
        <v>993</v>
      </c>
      <c r="C499" s="60" t="s">
        <v>232</v>
      </c>
      <c r="D499" s="61">
        <v>383.5</v>
      </c>
      <c r="E499" s="62">
        <v>26.64</v>
      </c>
      <c r="F499" s="62">
        <f>26.64*$G$7</f>
        <v>26.64</v>
      </c>
      <c r="G499" s="62">
        <f t="shared" si="27"/>
        <v>10216.44</v>
      </c>
    </row>
    <row r="500" spans="1:7" s="70" customFormat="1" ht="15" customHeight="1" x14ac:dyDescent="0.25">
      <c r="A500" s="59" t="s">
        <v>994</v>
      </c>
      <c r="B500" s="59" t="s">
        <v>995</v>
      </c>
      <c r="C500" s="60" t="s">
        <v>232</v>
      </c>
      <c r="D500" s="61">
        <v>24.4</v>
      </c>
      <c r="E500" s="62">
        <v>14.03</v>
      </c>
      <c r="F500" s="62">
        <f>14.03*$G$7</f>
        <v>14.03</v>
      </c>
      <c r="G500" s="62">
        <f t="shared" si="27"/>
        <v>342.33199999999994</v>
      </c>
    </row>
    <row r="501" spans="1:7" s="70" customFormat="1" ht="15" customHeight="1" x14ac:dyDescent="0.25">
      <c r="A501" s="59" t="s">
        <v>996</v>
      </c>
      <c r="B501" s="59" t="s">
        <v>627</v>
      </c>
      <c r="C501" s="60" t="s">
        <v>232</v>
      </c>
      <c r="D501" s="61">
        <v>208.8</v>
      </c>
      <c r="E501" s="62">
        <v>37.97</v>
      </c>
      <c r="F501" s="62">
        <f>37.97*$G$7</f>
        <v>37.97</v>
      </c>
      <c r="G501" s="62">
        <f t="shared" si="27"/>
        <v>7928.1360000000004</v>
      </c>
    </row>
    <row r="502" spans="1:7" s="70" customFormat="1" ht="15" customHeight="1" x14ac:dyDescent="0.25">
      <c r="A502" s="59" t="s">
        <v>997</v>
      </c>
      <c r="B502" s="59" t="s">
        <v>998</v>
      </c>
      <c r="C502" s="60" t="s">
        <v>232</v>
      </c>
      <c r="D502" s="61">
        <v>4.3</v>
      </c>
      <c r="E502" s="62">
        <v>48.79</v>
      </c>
      <c r="F502" s="62">
        <f>48.79*$G$7</f>
        <v>48.79</v>
      </c>
      <c r="G502" s="62">
        <f t="shared" si="27"/>
        <v>209.797</v>
      </c>
    </row>
    <row r="503" spans="1:7" s="70" customFormat="1" ht="15" customHeight="1" x14ac:dyDescent="0.25">
      <c r="A503" s="59" t="s">
        <v>999</v>
      </c>
      <c r="B503" s="59" t="s">
        <v>1000</v>
      </c>
      <c r="C503" s="60" t="s">
        <v>62</v>
      </c>
      <c r="D503" s="61">
        <v>50</v>
      </c>
      <c r="E503" s="62">
        <v>13.43</v>
      </c>
      <c r="F503" s="62">
        <f>13.43*$G$7</f>
        <v>13.43</v>
      </c>
      <c r="G503" s="62">
        <f t="shared" si="27"/>
        <v>671.5</v>
      </c>
    </row>
    <row r="504" spans="1:7" s="70" customFormat="1" ht="24.95" customHeight="1" x14ac:dyDescent="0.25">
      <c r="A504" s="59" t="s">
        <v>1001</v>
      </c>
      <c r="B504" s="59" t="s">
        <v>1002</v>
      </c>
      <c r="C504" s="60" t="s">
        <v>232</v>
      </c>
      <c r="D504" s="61">
        <v>976</v>
      </c>
      <c r="E504" s="62">
        <v>13.04</v>
      </c>
      <c r="F504" s="62">
        <f>13.04*$G$7</f>
        <v>13.04</v>
      </c>
      <c r="G504" s="62">
        <f t="shared" si="27"/>
        <v>12727.039999999999</v>
      </c>
    </row>
    <row r="505" spans="1:7" s="70" customFormat="1" ht="15" customHeight="1" x14ac:dyDescent="0.25">
      <c r="A505" s="59" t="s">
        <v>1003</v>
      </c>
      <c r="B505" s="59" t="s">
        <v>1004</v>
      </c>
      <c r="C505" s="60" t="s">
        <v>62</v>
      </c>
      <c r="D505" s="61">
        <v>2</v>
      </c>
      <c r="E505" s="62">
        <v>261.44</v>
      </c>
      <c r="F505" s="62">
        <f>261.44*$G$7</f>
        <v>261.44</v>
      </c>
      <c r="G505" s="62">
        <f t="shared" si="27"/>
        <v>522.88</v>
      </c>
    </row>
    <row r="506" spans="1:7" s="70" customFormat="1" ht="15" customHeight="1" x14ac:dyDescent="0.25">
      <c r="A506" s="59" t="s">
        <v>1005</v>
      </c>
      <c r="B506" s="59" t="s">
        <v>1006</v>
      </c>
      <c r="C506" s="60" t="s">
        <v>62</v>
      </c>
      <c r="D506" s="61">
        <v>2</v>
      </c>
      <c r="E506" s="62">
        <v>45.46</v>
      </c>
      <c r="F506" s="62">
        <f>45.46*$G$7</f>
        <v>45.46</v>
      </c>
      <c r="G506" s="62">
        <f t="shared" si="27"/>
        <v>90.92</v>
      </c>
    </row>
    <row r="507" spans="1:7" s="70" customFormat="1" ht="24.95" customHeight="1" x14ac:dyDescent="0.25">
      <c r="A507" s="59" t="s">
        <v>1007</v>
      </c>
      <c r="B507" s="59" t="s">
        <v>1008</v>
      </c>
      <c r="C507" s="60" t="s">
        <v>62</v>
      </c>
      <c r="D507" s="61">
        <v>383</v>
      </c>
      <c r="E507" s="62">
        <v>1.83</v>
      </c>
      <c r="F507" s="62">
        <f>1.83*$G$7</f>
        <v>1.83</v>
      </c>
      <c r="G507" s="62">
        <f t="shared" si="27"/>
        <v>700.89</v>
      </c>
    </row>
    <row r="508" spans="1:7" s="70" customFormat="1" ht="24.95" customHeight="1" x14ac:dyDescent="0.25">
      <c r="A508" s="59" t="s">
        <v>1009</v>
      </c>
      <c r="B508" s="59" t="s">
        <v>1010</v>
      </c>
      <c r="C508" s="60" t="s">
        <v>48</v>
      </c>
      <c r="D508" s="61">
        <v>24</v>
      </c>
      <c r="E508" s="62">
        <v>15.36</v>
      </c>
      <c r="F508" s="62">
        <f>15.36*$G$7</f>
        <v>15.36</v>
      </c>
      <c r="G508" s="62">
        <f t="shared" si="27"/>
        <v>368.64</v>
      </c>
    </row>
    <row r="509" spans="1:7" s="70" customFormat="1" ht="24.95" customHeight="1" x14ac:dyDescent="0.25">
      <c r="A509" s="59" t="s">
        <v>1011</v>
      </c>
      <c r="B509" s="59" t="s">
        <v>1012</v>
      </c>
      <c r="C509" s="60" t="s">
        <v>48</v>
      </c>
      <c r="D509" s="61">
        <v>1</v>
      </c>
      <c r="E509" s="62">
        <v>9.7899999999999991</v>
      </c>
      <c r="F509" s="62">
        <f>9.79*$G$7</f>
        <v>9.7899999999999991</v>
      </c>
      <c r="G509" s="62">
        <f t="shared" si="27"/>
        <v>9.7899999999999991</v>
      </c>
    </row>
    <row r="510" spans="1:7" s="70" customFormat="1" ht="24.95" customHeight="1" x14ac:dyDescent="0.25">
      <c r="A510" s="59" t="s">
        <v>1013</v>
      </c>
      <c r="B510" s="59" t="s">
        <v>1014</v>
      </c>
      <c r="C510" s="60" t="s">
        <v>48</v>
      </c>
      <c r="D510" s="61">
        <v>12</v>
      </c>
      <c r="E510" s="62">
        <v>7.49</v>
      </c>
      <c r="F510" s="62">
        <f>7.49*$G$7</f>
        <v>7.49</v>
      </c>
      <c r="G510" s="62">
        <f t="shared" si="27"/>
        <v>89.88</v>
      </c>
    </row>
    <row r="511" spans="1:7" s="70" customFormat="1" ht="15" customHeight="1" x14ac:dyDescent="0.25">
      <c r="A511" s="59" t="s">
        <v>1015</v>
      </c>
      <c r="B511" s="59" t="s">
        <v>1016</v>
      </c>
      <c r="C511" s="60" t="s">
        <v>62</v>
      </c>
      <c r="D511" s="61">
        <v>47</v>
      </c>
      <c r="E511" s="62">
        <v>22.9</v>
      </c>
      <c r="F511" s="62">
        <f>22.9*$G$7</f>
        <v>22.9</v>
      </c>
      <c r="G511" s="62">
        <f t="shared" si="27"/>
        <v>1076.3</v>
      </c>
    </row>
    <row r="512" spans="1:7" s="70" customFormat="1" ht="24.95" customHeight="1" x14ac:dyDescent="0.25">
      <c r="A512" s="59" t="s">
        <v>1017</v>
      </c>
      <c r="B512" s="59" t="s">
        <v>1018</v>
      </c>
      <c r="C512" s="60" t="s">
        <v>48</v>
      </c>
      <c r="D512" s="61">
        <v>2</v>
      </c>
      <c r="E512" s="62">
        <v>7.26</v>
      </c>
      <c r="F512" s="62">
        <f>7.26*$G$7</f>
        <v>7.26</v>
      </c>
      <c r="G512" s="62">
        <f t="shared" si="27"/>
        <v>14.52</v>
      </c>
    </row>
    <row r="513" spans="1:7" s="70" customFormat="1" ht="15" customHeight="1" x14ac:dyDescent="0.25">
      <c r="A513" s="59" t="s">
        <v>1019</v>
      </c>
      <c r="B513" s="59" t="s">
        <v>1020</v>
      </c>
      <c r="C513" s="60" t="s">
        <v>62</v>
      </c>
      <c r="D513" s="61">
        <v>383</v>
      </c>
      <c r="E513" s="62">
        <v>0.09</v>
      </c>
      <c r="F513" s="62">
        <f>0.09*$G$7</f>
        <v>0.09</v>
      </c>
      <c r="G513" s="62">
        <f t="shared" si="27"/>
        <v>34.47</v>
      </c>
    </row>
    <row r="514" spans="1:7" s="70" customFormat="1" ht="15" customHeight="1" x14ac:dyDescent="0.25">
      <c r="A514" s="59" t="s">
        <v>1021</v>
      </c>
      <c r="B514" s="59" t="s">
        <v>1022</v>
      </c>
      <c r="C514" s="60" t="s">
        <v>62</v>
      </c>
      <c r="D514" s="61">
        <v>383</v>
      </c>
      <c r="E514" s="62">
        <v>0.68</v>
      </c>
      <c r="F514" s="62">
        <f>0.68*$G$7</f>
        <v>0.68</v>
      </c>
      <c r="G514" s="62">
        <f t="shared" si="27"/>
        <v>260.44</v>
      </c>
    </row>
    <row r="515" spans="1:7" s="70" customFormat="1" ht="15" customHeight="1" x14ac:dyDescent="0.25">
      <c r="A515" s="59" t="s">
        <v>1023</v>
      </c>
      <c r="B515" s="59" t="s">
        <v>1024</v>
      </c>
      <c r="C515" s="60" t="s">
        <v>62</v>
      </c>
      <c r="D515" s="61">
        <v>5</v>
      </c>
      <c r="E515" s="62">
        <v>12.49</v>
      </c>
      <c r="F515" s="62">
        <f>12.49*$G$7</f>
        <v>12.49</v>
      </c>
      <c r="G515" s="62">
        <f t="shared" si="27"/>
        <v>62.45</v>
      </c>
    </row>
    <row r="516" spans="1:7" s="70" customFormat="1" ht="24.95" customHeight="1" x14ac:dyDescent="0.25">
      <c r="A516" s="59" t="s">
        <v>1025</v>
      </c>
      <c r="B516" s="59" t="s">
        <v>1026</v>
      </c>
      <c r="C516" s="60" t="s">
        <v>62</v>
      </c>
      <c r="D516" s="61">
        <v>4</v>
      </c>
      <c r="E516" s="62">
        <v>920.77</v>
      </c>
      <c r="F516" s="62">
        <f>920.77*$G$7</f>
        <v>920.77</v>
      </c>
      <c r="G516" s="62">
        <f t="shared" si="27"/>
        <v>3683.08</v>
      </c>
    </row>
    <row r="517" spans="1:7" s="70" customFormat="1" ht="15" customHeight="1" x14ac:dyDescent="0.25">
      <c r="A517" s="59" t="s">
        <v>1027</v>
      </c>
      <c r="B517" s="59" t="s">
        <v>1028</v>
      </c>
      <c r="C517" s="60" t="s">
        <v>62</v>
      </c>
      <c r="D517" s="61">
        <v>1</v>
      </c>
      <c r="E517" s="62">
        <v>292.52</v>
      </c>
      <c r="F517" s="62">
        <f>292.52*$G$7</f>
        <v>292.52</v>
      </c>
      <c r="G517" s="62">
        <f t="shared" si="27"/>
        <v>292.52</v>
      </c>
    </row>
    <row r="518" spans="1:7" s="70" customFormat="1" ht="24.95" customHeight="1" x14ac:dyDescent="0.25">
      <c r="A518" s="59" t="s">
        <v>1029</v>
      </c>
      <c r="B518" s="59" t="s">
        <v>1030</v>
      </c>
      <c r="C518" s="60" t="s">
        <v>232</v>
      </c>
      <c r="D518" s="61">
        <v>62.7</v>
      </c>
      <c r="E518" s="62">
        <v>9.34</v>
      </c>
      <c r="F518" s="62">
        <f>9.34*$G$7</f>
        <v>9.34</v>
      </c>
      <c r="G518" s="62">
        <f t="shared" si="27"/>
        <v>585.61800000000005</v>
      </c>
    </row>
    <row r="519" spans="1:7" s="70" customFormat="1" ht="15" customHeight="1" x14ac:dyDescent="0.25">
      <c r="A519" s="59" t="s">
        <v>1031</v>
      </c>
      <c r="B519" s="59" t="s">
        <v>1032</v>
      </c>
      <c r="C519" s="60" t="s">
        <v>48</v>
      </c>
      <c r="D519" s="61">
        <v>4</v>
      </c>
      <c r="E519" s="62">
        <v>21.81</v>
      </c>
      <c r="F519" s="62">
        <f>21.81*$G$7</f>
        <v>21.81</v>
      </c>
      <c r="G519" s="62">
        <f t="shared" si="27"/>
        <v>87.24</v>
      </c>
    </row>
    <row r="520" spans="1:7" ht="15" customHeight="1" x14ac:dyDescent="0.25">
      <c r="A520" s="55" t="s">
        <v>1033</v>
      </c>
      <c r="B520" s="55" t="s">
        <v>1034</v>
      </c>
      <c r="C520" s="55"/>
      <c r="D520" s="56"/>
      <c r="E520" s="57"/>
      <c r="F520" s="57"/>
      <c r="G520" s="57">
        <f>G521+G528+G532+G540+G547</f>
        <v>147914.7138</v>
      </c>
    </row>
    <row r="521" spans="1:7" ht="15" customHeight="1" x14ac:dyDescent="0.25">
      <c r="A521" s="55" t="s">
        <v>1035</v>
      </c>
      <c r="B521" s="55" t="s">
        <v>1036</v>
      </c>
      <c r="C521" s="55"/>
      <c r="D521" s="56"/>
      <c r="E521" s="57"/>
      <c r="F521" s="57"/>
      <c r="G521" s="57">
        <f>SUM(G522:G527)</f>
        <v>114488.8</v>
      </c>
    </row>
    <row r="522" spans="1:7" ht="24.95" customHeight="1" x14ac:dyDescent="0.25">
      <c r="A522" s="59" t="s">
        <v>1037</v>
      </c>
      <c r="B522" s="59" t="s">
        <v>1038</v>
      </c>
      <c r="C522" s="60" t="s">
        <v>48</v>
      </c>
      <c r="D522" s="61">
        <v>1</v>
      </c>
      <c r="E522" s="62">
        <v>2115.5</v>
      </c>
      <c r="F522" s="62">
        <f>2115.5*$G$7</f>
        <v>2115.5</v>
      </c>
      <c r="G522" s="62">
        <f t="shared" ref="G522:G527" si="28">D522*F522</f>
        <v>2115.5</v>
      </c>
    </row>
    <row r="523" spans="1:7" s="70" customFormat="1" ht="24.95" customHeight="1" x14ac:dyDescent="0.25">
      <c r="A523" s="59" t="s">
        <v>1039</v>
      </c>
      <c r="B523" s="59" t="s">
        <v>1040</v>
      </c>
      <c r="C523" s="60" t="s">
        <v>48</v>
      </c>
      <c r="D523" s="61">
        <v>18</v>
      </c>
      <c r="E523" s="62">
        <v>2347.31</v>
      </c>
      <c r="F523" s="62">
        <f>2347.31*$G$7</f>
        <v>2347.31</v>
      </c>
      <c r="G523" s="62">
        <f t="shared" si="28"/>
        <v>42251.58</v>
      </c>
    </row>
    <row r="524" spans="1:7" s="70" customFormat="1" ht="24.95" customHeight="1" x14ac:dyDescent="0.25">
      <c r="A524" s="59" t="s">
        <v>1041</v>
      </c>
      <c r="B524" s="59" t="s">
        <v>1042</v>
      </c>
      <c r="C524" s="60" t="s">
        <v>48</v>
      </c>
      <c r="D524" s="61">
        <v>6</v>
      </c>
      <c r="E524" s="62">
        <v>3173.65</v>
      </c>
      <c r="F524" s="62">
        <f>3173.65*$G$7</f>
        <v>3173.65</v>
      </c>
      <c r="G524" s="62">
        <f t="shared" si="28"/>
        <v>19041.900000000001</v>
      </c>
    </row>
    <row r="525" spans="1:7" s="70" customFormat="1" ht="24.95" customHeight="1" x14ac:dyDescent="0.25">
      <c r="A525" s="59" t="s">
        <v>1043</v>
      </c>
      <c r="B525" s="59" t="s">
        <v>1044</v>
      </c>
      <c r="C525" s="60" t="s">
        <v>48</v>
      </c>
      <c r="D525" s="61">
        <v>4</v>
      </c>
      <c r="E525" s="62">
        <v>7577.06</v>
      </c>
      <c r="F525" s="62">
        <f>7577.06*$G$7</f>
        <v>7577.06</v>
      </c>
      <c r="G525" s="62">
        <f t="shared" si="28"/>
        <v>30308.240000000002</v>
      </c>
    </row>
    <row r="526" spans="1:7" s="70" customFormat="1" ht="24.95" customHeight="1" x14ac:dyDescent="0.25">
      <c r="A526" s="59" t="s">
        <v>1045</v>
      </c>
      <c r="B526" s="59" t="s">
        <v>1046</v>
      </c>
      <c r="C526" s="60" t="s">
        <v>48</v>
      </c>
      <c r="D526" s="61">
        <v>3</v>
      </c>
      <c r="E526" s="62">
        <v>6459.54</v>
      </c>
      <c r="F526" s="62">
        <f>6459.54*$G$7</f>
        <v>6459.54</v>
      </c>
      <c r="G526" s="62">
        <f t="shared" si="28"/>
        <v>19378.62</v>
      </c>
    </row>
    <row r="527" spans="1:7" s="70" customFormat="1" ht="24.95" customHeight="1" x14ac:dyDescent="0.25">
      <c r="A527" s="59" t="s">
        <v>1047</v>
      </c>
      <c r="B527" s="59" t="s">
        <v>1048</v>
      </c>
      <c r="C527" s="60" t="s">
        <v>1049</v>
      </c>
      <c r="D527" s="61">
        <v>2</v>
      </c>
      <c r="E527" s="62">
        <v>696.48</v>
      </c>
      <c r="F527" s="62">
        <f>696.48*$G$7</f>
        <v>696.48</v>
      </c>
      <c r="G527" s="62">
        <f t="shared" si="28"/>
        <v>1392.96</v>
      </c>
    </row>
    <row r="528" spans="1:7" ht="15" customHeight="1" x14ac:dyDescent="0.25">
      <c r="A528" s="55" t="s">
        <v>1050</v>
      </c>
      <c r="B528" s="55" t="s">
        <v>1051</v>
      </c>
      <c r="C528" s="55"/>
      <c r="D528" s="56"/>
      <c r="E528" s="57"/>
      <c r="F528" s="57"/>
      <c r="G528" s="57">
        <f>SUM(G529:G531)</f>
        <v>7437.241</v>
      </c>
    </row>
    <row r="529" spans="1:7" ht="24.95" customHeight="1" x14ac:dyDescent="0.25">
      <c r="A529" s="59" t="s">
        <v>1052</v>
      </c>
      <c r="B529" s="59" t="s">
        <v>1053</v>
      </c>
      <c r="C529" s="60" t="s">
        <v>232</v>
      </c>
      <c r="D529" s="61">
        <v>31.7</v>
      </c>
      <c r="E529" s="62">
        <v>54.83</v>
      </c>
      <c r="F529" s="62">
        <f>54.83*$G$7</f>
        <v>54.83</v>
      </c>
      <c r="G529" s="62">
        <f>D529*F529</f>
        <v>1738.1109999999999</v>
      </c>
    </row>
    <row r="530" spans="1:7" s="70" customFormat="1" ht="24.95" customHeight="1" x14ac:dyDescent="0.25">
      <c r="A530" s="59" t="s">
        <v>1054</v>
      </c>
      <c r="B530" s="59" t="s">
        <v>1055</v>
      </c>
      <c r="C530" s="60" t="s">
        <v>232</v>
      </c>
      <c r="D530" s="61">
        <v>6.7</v>
      </c>
      <c r="E530" s="62">
        <v>71.239999999999995</v>
      </c>
      <c r="F530" s="62">
        <f>71.24*$G$7</f>
        <v>71.239999999999995</v>
      </c>
      <c r="G530" s="62">
        <f>D530*F530</f>
        <v>477.30799999999999</v>
      </c>
    </row>
    <row r="531" spans="1:7" s="70" customFormat="1" ht="24.95" customHeight="1" x14ac:dyDescent="0.25">
      <c r="A531" s="59" t="s">
        <v>1056</v>
      </c>
      <c r="B531" s="59" t="s">
        <v>1057</v>
      </c>
      <c r="C531" s="60" t="s">
        <v>232</v>
      </c>
      <c r="D531" s="61">
        <v>80.2</v>
      </c>
      <c r="E531" s="62">
        <v>65.11</v>
      </c>
      <c r="F531" s="62">
        <f>65.11*$G$7</f>
        <v>65.11</v>
      </c>
      <c r="G531" s="62">
        <f>D531*F531</f>
        <v>5221.8220000000001</v>
      </c>
    </row>
    <row r="532" spans="1:7" ht="15" customHeight="1" x14ac:dyDescent="0.25">
      <c r="A532" s="55" t="s">
        <v>1058</v>
      </c>
      <c r="B532" s="55" t="s">
        <v>1059</v>
      </c>
      <c r="C532" s="55"/>
      <c r="D532" s="56"/>
      <c r="E532" s="57"/>
      <c r="F532" s="57"/>
      <c r="G532" s="57">
        <f>SUM(G533:G539)</f>
        <v>5390.1728000000003</v>
      </c>
    </row>
    <row r="533" spans="1:7" ht="24.95" customHeight="1" x14ac:dyDescent="0.25">
      <c r="A533" s="59" t="s">
        <v>1060</v>
      </c>
      <c r="B533" s="59" t="s">
        <v>1061</v>
      </c>
      <c r="C533" s="60" t="s">
        <v>232</v>
      </c>
      <c r="D533" s="61">
        <v>235.34</v>
      </c>
      <c r="E533" s="62">
        <v>12.62</v>
      </c>
      <c r="F533" s="62">
        <f>12.62*$G$7</f>
        <v>12.62</v>
      </c>
      <c r="G533" s="62">
        <f t="shared" ref="G533:G539" si="29">D533*F533</f>
        <v>2969.9908</v>
      </c>
    </row>
    <row r="534" spans="1:7" s="70" customFormat="1" ht="24.95" customHeight="1" x14ac:dyDescent="0.25">
      <c r="A534" s="59" t="s">
        <v>1062</v>
      </c>
      <c r="B534" s="59" t="s">
        <v>1063</v>
      </c>
      <c r="C534" s="60" t="s">
        <v>48</v>
      </c>
      <c r="D534" s="61">
        <v>11</v>
      </c>
      <c r="E534" s="62">
        <v>5.55</v>
      </c>
      <c r="F534" s="62">
        <f>5.55*$G$7</f>
        <v>5.55</v>
      </c>
      <c r="G534" s="62">
        <f t="shared" si="29"/>
        <v>61.05</v>
      </c>
    </row>
    <row r="535" spans="1:7" s="70" customFormat="1" ht="24.95" customHeight="1" x14ac:dyDescent="0.25">
      <c r="A535" s="59" t="s">
        <v>1064</v>
      </c>
      <c r="B535" s="59" t="s">
        <v>1065</v>
      </c>
      <c r="C535" s="60" t="s">
        <v>48</v>
      </c>
      <c r="D535" s="61">
        <v>39</v>
      </c>
      <c r="E535" s="62">
        <v>4.97</v>
      </c>
      <c r="F535" s="62">
        <f>4.97*$G$7</f>
        <v>4.97</v>
      </c>
      <c r="G535" s="62">
        <f t="shared" si="29"/>
        <v>193.82999999999998</v>
      </c>
    </row>
    <row r="536" spans="1:7" s="70" customFormat="1" ht="24.95" customHeight="1" x14ac:dyDescent="0.25">
      <c r="A536" s="59" t="s">
        <v>1066</v>
      </c>
      <c r="B536" s="59" t="s">
        <v>1067</v>
      </c>
      <c r="C536" s="60" t="s">
        <v>48</v>
      </c>
      <c r="D536" s="61">
        <v>7</v>
      </c>
      <c r="E536" s="62">
        <v>3.39</v>
      </c>
      <c r="F536" s="62">
        <f>3.39*$G$7</f>
        <v>3.39</v>
      </c>
      <c r="G536" s="62">
        <f t="shared" si="29"/>
        <v>23.73</v>
      </c>
    </row>
    <row r="537" spans="1:7" s="70" customFormat="1" ht="24.95" customHeight="1" x14ac:dyDescent="0.25">
      <c r="A537" s="59" t="s">
        <v>1068</v>
      </c>
      <c r="B537" s="59" t="s">
        <v>1069</v>
      </c>
      <c r="C537" s="60" t="s">
        <v>48</v>
      </c>
      <c r="D537" s="61">
        <v>2</v>
      </c>
      <c r="E537" s="62">
        <v>7.63</v>
      </c>
      <c r="F537" s="62">
        <f>7.63*$G$7</f>
        <v>7.63</v>
      </c>
      <c r="G537" s="62">
        <f t="shared" si="29"/>
        <v>15.26</v>
      </c>
    </row>
    <row r="538" spans="1:7" s="70" customFormat="1" ht="24.95" customHeight="1" x14ac:dyDescent="0.25">
      <c r="A538" s="59" t="s">
        <v>1070</v>
      </c>
      <c r="B538" s="59" t="s">
        <v>1071</v>
      </c>
      <c r="C538" s="60" t="s">
        <v>48</v>
      </c>
      <c r="D538" s="61">
        <v>9</v>
      </c>
      <c r="E538" s="62">
        <v>181.94</v>
      </c>
      <c r="F538" s="62">
        <f>181.94*$G$7</f>
        <v>181.94</v>
      </c>
      <c r="G538" s="62">
        <f t="shared" si="29"/>
        <v>1637.46</v>
      </c>
    </row>
    <row r="539" spans="1:7" s="70" customFormat="1" ht="24.95" customHeight="1" x14ac:dyDescent="0.25">
      <c r="A539" s="59" t="s">
        <v>1072</v>
      </c>
      <c r="B539" s="59" t="s">
        <v>1073</v>
      </c>
      <c r="C539" s="60" t="s">
        <v>232</v>
      </c>
      <c r="D539" s="61">
        <v>36.4</v>
      </c>
      <c r="E539" s="62">
        <v>13.43</v>
      </c>
      <c r="F539" s="62">
        <f>13.43*$G$7</f>
        <v>13.43</v>
      </c>
      <c r="G539" s="62">
        <f t="shared" si="29"/>
        <v>488.85199999999998</v>
      </c>
    </row>
    <row r="540" spans="1:7" ht="15" customHeight="1" x14ac:dyDescent="0.25">
      <c r="A540" s="55" t="s">
        <v>1074</v>
      </c>
      <c r="B540" s="55" t="s">
        <v>1075</v>
      </c>
      <c r="C540" s="55"/>
      <c r="D540" s="56"/>
      <c r="E540" s="57"/>
      <c r="F540" s="57"/>
      <c r="G540" s="57">
        <f>SUM(G541:G546)</f>
        <v>5829.68</v>
      </c>
    </row>
    <row r="541" spans="1:7" ht="20.100000000000001" customHeight="1" x14ac:dyDescent="0.25">
      <c r="A541" s="59" t="s">
        <v>1076</v>
      </c>
      <c r="B541" s="59" t="s">
        <v>1077</v>
      </c>
      <c r="C541" s="60" t="s">
        <v>48</v>
      </c>
      <c r="D541" s="61">
        <v>128</v>
      </c>
      <c r="E541" s="62">
        <v>8.64</v>
      </c>
      <c r="F541" s="62">
        <f>8.64*$G$7</f>
        <v>8.64</v>
      </c>
      <c r="G541" s="62">
        <f t="shared" ref="G541:G546" si="30">D541*F541</f>
        <v>1105.92</v>
      </c>
    </row>
    <row r="542" spans="1:7" s="70" customFormat="1" ht="20.100000000000001" customHeight="1" x14ac:dyDescent="0.25">
      <c r="A542" s="59" t="s">
        <v>1078</v>
      </c>
      <c r="B542" s="59" t="s">
        <v>1079</v>
      </c>
      <c r="C542" s="60" t="s">
        <v>48</v>
      </c>
      <c r="D542" s="61">
        <v>2</v>
      </c>
      <c r="E542" s="62">
        <v>128.05000000000001</v>
      </c>
      <c r="F542" s="62">
        <f>128.05*$G$7</f>
        <v>128.05000000000001</v>
      </c>
      <c r="G542" s="62">
        <f t="shared" si="30"/>
        <v>256.10000000000002</v>
      </c>
    </row>
    <row r="543" spans="1:7" s="70" customFormat="1" ht="24.95" customHeight="1" x14ac:dyDescent="0.25">
      <c r="A543" s="59" t="s">
        <v>1080</v>
      </c>
      <c r="B543" s="59" t="s">
        <v>841</v>
      </c>
      <c r="C543" s="60" t="s">
        <v>48</v>
      </c>
      <c r="D543" s="61">
        <v>9</v>
      </c>
      <c r="E543" s="62">
        <v>100.26</v>
      </c>
      <c r="F543" s="62">
        <f>100.26*$G$7</f>
        <v>100.26</v>
      </c>
      <c r="G543" s="62">
        <f t="shared" si="30"/>
        <v>902.34</v>
      </c>
    </row>
    <row r="544" spans="1:7" s="70" customFormat="1" ht="24.95" customHeight="1" x14ac:dyDescent="0.25">
      <c r="A544" s="59" t="s">
        <v>1081</v>
      </c>
      <c r="B544" s="59" t="s">
        <v>1082</v>
      </c>
      <c r="C544" s="60" t="s">
        <v>48</v>
      </c>
      <c r="D544" s="61">
        <v>28</v>
      </c>
      <c r="E544" s="62">
        <v>86.39</v>
      </c>
      <c r="F544" s="62">
        <f>86.39*$G$7</f>
        <v>86.39</v>
      </c>
      <c r="G544" s="62">
        <f t="shared" si="30"/>
        <v>2418.92</v>
      </c>
    </row>
    <row r="545" spans="1:7" s="70" customFormat="1" ht="24.95" customHeight="1" x14ac:dyDescent="0.25">
      <c r="A545" s="59" t="s">
        <v>1083</v>
      </c>
      <c r="B545" s="59" t="s">
        <v>1084</v>
      </c>
      <c r="C545" s="60" t="s">
        <v>48</v>
      </c>
      <c r="D545" s="61">
        <v>4</v>
      </c>
      <c r="E545" s="62">
        <v>61.32</v>
      </c>
      <c r="F545" s="62">
        <f>61.32*$G$7</f>
        <v>61.32</v>
      </c>
      <c r="G545" s="62">
        <f t="shared" si="30"/>
        <v>245.28</v>
      </c>
    </row>
    <row r="546" spans="1:7" s="70" customFormat="1" ht="20.100000000000001" customHeight="1" x14ac:dyDescent="0.25">
      <c r="A546" s="59" t="s">
        <v>1085</v>
      </c>
      <c r="B546" s="59" t="s">
        <v>1086</v>
      </c>
      <c r="C546" s="60" t="s">
        <v>48</v>
      </c>
      <c r="D546" s="61">
        <v>32</v>
      </c>
      <c r="E546" s="62">
        <v>28.16</v>
      </c>
      <c r="F546" s="62">
        <f>28.16*$G$7</f>
        <v>28.16</v>
      </c>
      <c r="G546" s="62">
        <f t="shared" si="30"/>
        <v>901.12</v>
      </c>
    </row>
    <row r="547" spans="1:7" ht="15" customHeight="1" x14ac:dyDescent="0.25">
      <c r="A547" s="55" t="s">
        <v>1087</v>
      </c>
      <c r="B547" s="55" t="s">
        <v>1088</v>
      </c>
      <c r="C547" s="55"/>
      <c r="D547" s="56"/>
      <c r="E547" s="57"/>
      <c r="F547" s="57"/>
      <c r="G547" s="57">
        <f>SUM(G548:G554)</f>
        <v>14768.820000000002</v>
      </c>
    </row>
    <row r="548" spans="1:7" ht="15" customHeight="1" x14ac:dyDescent="0.25">
      <c r="A548" s="59" t="s">
        <v>1089</v>
      </c>
      <c r="B548" s="59" t="s">
        <v>1090</v>
      </c>
      <c r="C548" s="60" t="s">
        <v>235</v>
      </c>
      <c r="D548" s="61">
        <v>123.2</v>
      </c>
      <c r="E548" s="62">
        <v>45.35</v>
      </c>
      <c r="F548" s="62">
        <f>45.35*$G$7</f>
        <v>45.35</v>
      </c>
      <c r="G548" s="62">
        <f t="shared" ref="G548:G554" si="31">D548*F548</f>
        <v>5587.12</v>
      </c>
    </row>
    <row r="549" spans="1:7" s="70" customFormat="1" ht="15" customHeight="1" x14ac:dyDescent="0.25">
      <c r="A549" s="59" t="s">
        <v>1091</v>
      </c>
      <c r="B549" s="59" t="s">
        <v>1092</v>
      </c>
      <c r="C549" s="60" t="s">
        <v>235</v>
      </c>
      <c r="D549" s="61">
        <v>23</v>
      </c>
      <c r="E549" s="62">
        <v>55.94</v>
      </c>
      <c r="F549" s="62">
        <f>55.94*$G$7</f>
        <v>55.94</v>
      </c>
      <c r="G549" s="62">
        <f t="shared" si="31"/>
        <v>1286.6199999999999</v>
      </c>
    </row>
    <row r="550" spans="1:7" s="70" customFormat="1" ht="15" customHeight="1" x14ac:dyDescent="0.25">
      <c r="A550" s="59" t="s">
        <v>1093</v>
      </c>
      <c r="B550" s="59" t="s">
        <v>1094</v>
      </c>
      <c r="C550" s="60" t="s">
        <v>48</v>
      </c>
      <c r="D550" s="61">
        <v>32</v>
      </c>
      <c r="E550" s="62">
        <v>69.739999999999995</v>
      </c>
      <c r="F550" s="62">
        <f>69.74*$G$7</f>
        <v>69.739999999999995</v>
      </c>
      <c r="G550" s="62">
        <f t="shared" si="31"/>
        <v>2231.6799999999998</v>
      </c>
    </row>
    <row r="551" spans="1:7" s="70" customFormat="1" ht="15" customHeight="1" x14ac:dyDescent="0.25">
      <c r="A551" s="59" t="s">
        <v>1095</v>
      </c>
      <c r="B551" s="59" t="s">
        <v>1096</v>
      </c>
      <c r="C551" s="60" t="s">
        <v>48</v>
      </c>
      <c r="D551" s="61">
        <v>8</v>
      </c>
      <c r="E551" s="62">
        <v>55.9</v>
      </c>
      <c r="F551" s="62">
        <f>55.9*$G$7</f>
        <v>55.9</v>
      </c>
      <c r="G551" s="62">
        <f t="shared" si="31"/>
        <v>447.2</v>
      </c>
    </row>
    <row r="552" spans="1:7" s="70" customFormat="1" ht="15" customHeight="1" x14ac:dyDescent="0.25">
      <c r="A552" s="59" t="s">
        <v>1097</v>
      </c>
      <c r="B552" s="59" t="s">
        <v>1098</v>
      </c>
      <c r="C552" s="60" t="s">
        <v>48</v>
      </c>
      <c r="D552" s="61">
        <v>2</v>
      </c>
      <c r="E552" s="62">
        <v>383.42</v>
      </c>
      <c r="F552" s="62">
        <f>383.42*$G$7</f>
        <v>383.42</v>
      </c>
      <c r="G552" s="62">
        <f t="shared" si="31"/>
        <v>766.84</v>
      </c>
    </row>
    <row r="553" spans="1:7" s="70" customFormat="1" ht="15" customHeight="1" x14ac:dyDescent="0.25">
      <c r="A553" s="59" t="s">
        <v>1099</v>
      </c>
      <c r="B553" s="59" t="s">
        <v>1100</v>
      </c>
      <c r="C553" s="60" t="s">
        <v>48</v>
      </c>
      <c r="D553" s="61">
        <v>8</v>
      </c>
      <c r="E553" s="62">
        <v>505.54</v>
      </c>
      <c r="F553" s="62">
        <f>505.54*$G$7</f>
        <v>505.54</v>
      </c>
      <c r="G553" s="62">
        <f t="shared" si="31"/>
        <v>4044.32</v>
      </c>
    </row>
    <row r="554" spans="1:7" s="70" customFormat="1" ht="15" customHeight="1" x14ac:dyDescent="0.25">
      <c r="A554" s="59" t="s">
        <v>1101</v>
      </c>
      <c r="B554" s="59" t="s">
        <v>1102</v>
      </c>
      <c r="C554" s="60" t="s">
        <v>48</v>
      </c>
      <c r="D554" s="61">
        <v>8</v>
      </c>
      <c r="E554" s="62">
        <v>50.63</v>
      </c>
      <c r="F554" s="62">
        <f>50.63*$G$7</f>
        <v>50.63</v>
      </c>
      <c r="G554" s="62">
        <f t="shared" si="31"/>
        <v>405.04</v>
      </c>
    </row>
    <row r="555" spans="1:7" ht="15" customHeight="1" x14ac:dyDescent="0.25">
      <c r="A555" s="55" t="s">
        <v>1103</v>
      </c>
      <c r="B555" s="55" t="s">
        <v>1104</v>
      </c>
      <c r="C555" s="55"/>
      <c r="D555" s="56"/>
      <c r="E555" s="57"/>
      <c r="F555" s="57"/>
      <c r="G555" s="57">
        <f>G556+G563+G570+G573</f>
        <v>10219.003000000001</v>
      </c>
    </row>
    <row r="556" spans="1:7" ht="15" customHeight="1" x14ac:dyDescent="0.25">
      <c r="A556" s="55" t="s">
        <v>1105</v>
      </c>
      <c r="B556" s="55" t="s">
        <v>1106</v>
      </c>
      <c r="C556" s="55"/>
      <c r="D556" s="56"/>
      <c r="E556" s="57"/>
      <c r="F556" s="57"/>
      <c r="G556" s="57">
        <f>SUM(G557:G562)</f>
        <v>3543.7750000000001</v>
      </c>
    </row>
    <row r="557" spans="1:7" ht="35.1" customHeight="1" x14ac:dyDescent="0.25">
      <c r="A557" s="59" t="s">
        <v>1107</v>
      </c>
      <c r="B557" s="59" t="s">
        <v>950</v>
      </c>
      <c r="C557" s="60" t="s">
        <v>232</v>
      </c>
      <c r="D557" s="61">
        <v>90.5</v>
      </c>
      <c r="E557" s="62">
        <v>12.87</v>
      </c>
      <c r="F557" s="62">
        <f>12.87*$G$7</f>
        <v>12.87</v>
      </c>
      <c r="G557" s="62">
        <f t="shared" ref="G557:G562" si="32">D557*F557</f>
        <v>1164.7349999999999</v>
      </c>
    </row>
    <row r="558" spans="1:7" s="70" customFormat="1" ht="35.1" customHeight="1" x14ac:dyDescent="0.25">
      <c r="A558" s="59" t="s">
        <v>1108</v>
      </c>
      <c r="B558" s="59" t="s">
        <v>1109</v>
      </c>
      <c r="C558" s="60" t="s">
        <v>232</v>
      </c>
      <c r="D558" s="61">
        <v>3.2</v>
      </c>
      <c r="E558" s="62">
        <v>24.35</v>
      </c>
      <c r="F558" s="62">
        <f>24.35*$G$7</f>
        <v>24.35</v>
      </c>
      <c r="G558" s="62">
        <f t="shared" si="32"/>
        <v>77.920000000000016</v>
      </c>
    </row>
    <row r="559" spans="1:7" s="70" customFormat="1" ht="35.1" customHeight="1" x14ac:dyDescent="0.25">
      <c r="A559" s="59" t="s">
        <v>1110</v>
      </c>
      <c r="B559" s="59" t="s">
        <v>1111</v>
      </c>
      <c r="C559" s="60" t="s">
        <v>232</v>
      </c>
      <c r="D559" s="61">
        <v>73.7</v>
      </c>
      <c r="E559" s="62">
        <v>13.9</v>
      </c>
      <c r="F559" s="62">
        <f>13.9*$G$7</f>
        <v>13.9</v>
      </c>
      <c r="G559" s="62">
        <f t="shared" si="32"/>
        <v>1024.43</v>
      </c>
    </row>
    <row r="560" spans="1:7" s="70" customFormat="1" ht="20.100000000000001" customHeight="1" x14ac:dyDescent="0.25">
      <c r="A560" s="59" t="s">
        <v>1112</v>
      </c>
      <c r="B560" s="59" t="s">
        <v>1113</v>
      </c>
      <c r="C560" s="60" t="s">
        <v>62</v>
      </c>
      <c r="D560" s="61">
        <v>11</v>
      </c>
      <c r="E560" s="62">
        <v>27.91</v>
      </c>
      <c r="F560" s="62">
        <f>27.91*$G$7</f>
        <v>27.91</v>
      </c>
      <c r="G560" s="62">
        <f t="shared" si="32"/>
        <v>307.01</v>
      </c>
    </row>
    <row r="561" spans="1:7" s="70" customFormat="1" ht="20.100000000000001" customHeight="1" x14ac:dyDescent="0.25">
      <c r="A561" s="59" t="s">
        <v>1114</v>
      </c>
      <c r="B561" s="59" t="s">
        <v>1115</v>
      </c>
      <c r="C561" s="60" t="s">
        <v>62</v>
      </c>
      <c r="D561" s="61">
        <v>2</v>
      </c>
      <c r="E561" s="62">
        <v>24.04</v>
      </c>
      <c r="F561" s="62">
        <f>24.04*$G$7</f>
        <v>24.04</v>
      </c>
      <c r="G561" s="62">
        <f t="shared" si="32"/>
        <v>48.08</v>
      </c>
    </row>
    <row r="562" spans="1:7" s="70" customFormat="1" ht="20.100000000000001" customHeight="1" x14ac:dyDescent="0.25">
      <c r="A562" s="59" t="s">
        <v>1116</v>
      </c>
      <c r="B562" s="59" t="s">
        <v>958</v>
      </c>
      <c r="C562" s="60" t="s">
        <v>587</v>
      </c>
      <c r="D562" s="61">
        <v>90</v>
      </c>
      <c r="E562" s="62">
        <v>10.24</v>
      </c>
      <c r="F562" s="62">
        <f>10.24*$G$7</f>
        <v>10.24</v>
      </c>
      <c r="G562" s="62">
        <f t="shared" si="32"/>
        <v>921.6</v>
      </c>
    </row>
    <row r="563" spans="1:7" ht="22.5" customHeight="1" x14ac:dyDescent="0.25">
      <c r="A563" s="55" t="s">
        <v>1117</v>
      </c>
      <c r="B563" s="55" t="s">
        <v>1118</v>
      </c>
      <c r="C563" s="55"/>
      <c r="D563" s="56"/>
      <c r="E563" s="57"/>
      <c r="F563" s="57"/>
      <c r="G563" s="57">
        <f>SUM(G564:G569)</f>
        <v>2101.2900000000004</v>
      </c>
    </row>
    <row r="564" spans="1:7" ht="22.5" customHeight="1" x14ac:dyDescent="0.25">
      <c r="A564" s="59" t="s">
        <v>1119</v>
      </c>
      <c r="B564" s="59" t="s">
        <v>965</v>
      </c>
      <c r="C564" s="60" t="s">
        <v>48</v>
      </c>
      <c r="D564" s="61">
        <v>1</v>
      </c>
      <c r="E564" s="62">
        <v>80.11</v>
      </c>
      <c r="F564" s="62">
        <f>80.11*$G$7</f>
        <v>80.11</v>
      </c>
      <c r="G564" s="62">
        <f t="shared" ref="G564:G569" si="33">D564*F564</f>
        <v>80.11</v>
      </c>
    </row>
    <row r="565" spans="1:7" ht="22.5" customHeight="1" x14ac:dyDescent="0.25">
      <c r="A565" s="59" t="s">
        <v>1120</v>
      </c>
      <c r="B565" s="59" t="s">
        <v>837</v>
      </c>
      <c r="C565" s="60" t="s">
        <v>62</v>
      </c>
      <c r="D565" s="61">
        <v>6</v>
      </c>
      <c r="E565" s="62">
        <v>224.32</v>
      </c>
      <c r="F565" s="62">
        <f>224.32*$G$7</f>
        <v>224.32</v>
      </c>
      <c r="G565" s="62">
        <f t="shared" si="33"/>
        <v>1345.92</v>
      </c>
    </row>
    <row r="566" spans="1:7" ht="22.5" customHeight="1" x14ac:dyDescent="0.25">
      <c r="A566" s="59" t="s">
        <v>1121</v>
      </c>
      <c r="B566" s="59" t="s">
        <v>1122</v>
      </c>
      <c r="C566" s="60" t="s">
        <v>62</v>
      </c>
      <c r="D566" s="61">
        <v>1</v>
      </c>
      <c r="E566" s="62">
        <v>27.79</v>
      </c>
      <c r="F566" s="62">
        <f>27.79*$G$7</f>
        <v>27.79</v>
      </c>
      <c r="G566" s="62">
        <f t="shared" si="33"/>
        <v>27.79</v>
      </c>
    </row>
    <row r="567" spans="1:7" ht="22.5" customHeight="1" x14ac:dyDescent="0.25">
      <c r="A567" s="59" t="s">
        <v>1123</v>
      </c>
      <c r="B567" s="59" t="s">
        <v>1124</v>
      </c>
      <c r="C567" s="60" t="s">
        <v>48</v>
      </c>
      <c r="D567" s="61">
        <v>9</v>
      </c>
      <c r="E567" s="62">
        <v>38.340000000000003</v>
      </c>
      <c r="F567" s="62">
        <f>38.34*$G$7</f>
        <v>38.340000000000003</v>
      </c>
      <c r="G567" s="62">
        <f t="shared" si="33"/>
        <v>345.06000000000006</v>
      </c>
    </row>
    <row r="568" spans="1:7" ht="30" customHeight="1" x14ac:dyDescent="0.25">
      <c r="A568" s="59" t="s">
        <v>1125</v>
      </c>
      <c r="B568" s="59" t="s">
        <v>1126</v>
      </c>
      <c r="C568" s="60" t="s">
        <v>48</v>
      </c>
      <c r="D568" s="61">
        <v>9</v>
      </c>
      <c r="E568" s="62">
        <v>29.98</v>
      </c>
      <c r="F568" s="62">
        <f>29.98*$G$7</f>
        <v>29.98</v>
      </c>
      <c r="G568" s="62">
        <f t="shared" si="33"/>
        <v>269.82</v>
      </c>
    </row>
    <row r="569" spans="1:7" ht="30" customHeight="1" x14ac:dyDescent="0.25">
      <c r="A569" s="59" t="s">
        <v>1127</v>
      </c>
      <c r="B569" s="59" t="s">
        <v>1128</v>
      </c>
      <c r="C569" s="60" t="s">
        <v>48</v>
      </c>
      <c r="D569" s="61">
        <v>1</v>
      </c>
      <c r="E569" s="62">
        <v>32.590000000000003</v>
      </c>
      <c r="F569" s="62">
        <f>32.59*$G$7</f>
        <v>32.590000000000003</v>
      </c>
      <c r="G569" s="62">
        <f t="shared" si="33"/>
        <v>32.590000000000003</v>
      </c>
    </row>
    <row r="570" spans="1:7" ht="15" customHeight="1" x14ac:dyDescent="0.25">
      <c r="A570" s="55" t="s">
        <v>1129</v>
      </c>
      <c r="B570" s="55" t="s">
        <v>1130</v>
      </c>
      <c r="C570" s="55"/>
      <c r="D570" s="56"/>
      <c r="E570" s="57"/>
      <c r="F570" s="57"/>
      <c r="G570" s="57">
        <f>SUM(G571:G572)</f>
        <v>2199.8879999999999</v>
      </c>
    </row>
    <row r="571" spans="1:7" ht="15" customHeight="1" x14ac:dyDescent="0.25">
      <c r="A571" s="59" t="s">
        <v>1131</v>
      </c>
      <c r="B571" s="59" t="s">
        <v>888</v>
      </c>
      <c r="C571" s="60" t="s">
        <v>232</v>
      </c>
      <c r="D571" s="61">
        <v>331.4</v>
      </c>
      <c r="E571" s="62">
        <v>5.42</v>
      </c>
      <c r="F571" s="62">
        <f>5.42*$G$7</f>
        <v>5.42</v>
      </c>
      <c r="G571" s="62">
        <f>D571*F571</f>
        <v>1796.1879999999999</v>
      </c>
    </row>
    <row r="572" spans="1:7" s="70" customFormat="1" ht="15" customHeight="1" x14ac:dyDescent="0.25">
      <c r="A572" s="59" t="s">
        <v>1132</v>
      </c>
      <c r="B572" s="59" t="s">
        <v>890</v>
      </c>
      <c r="C572" s="60" t="s">
        <v>48</v>
      </c>
      <c r="D572" s="61">
        <v>22</v>
      </c>
      <c r="E572" s="62">
        <v>18.350000000000001</v>
      </c>
      <c r="F572" s="62">
        <f>18.35*$G$7</f>
        <v>18.350000000000001</v>
      </c>
      <c r="G572" s="62">
        <f>D572*F572</f>
        <v>403.70000000000005</v>
      </c>
    </row>
    <row r="573" spans="1:7" ht="15" customHeight="1" x14ac:dyDescent="0.25">
      <c r="A573" s="55" t="s">
        <v>1133</v>
      </c>
      <c r="B573" s="55" t="s">
        <v>1134</v>
      </c>
      <c r="C573" s="55"/>
      <c r="D573" s="56"/>
      <c r="E573" s="57"/>
      <c r="F573" s="57"/>
      <c r="G573" s="57">
        <f>SUM(G574:G577)</f>
        <v>2374.0500000000002</v>
      </c>
    </row>
    <row r="574" spans="1:7" ht="30" customHeight="1" x14ac:dyDescent="0.25">
      <c r="A574" s="59" t="s">
        <v>1135</v>
      </c>
      <c r="B574" s="59" t="s">
        <v>1126</v>
      </c>
      <c r="C574" s="60" t="s">
        <v>48</v>
      </c>
      <c r="D574" s="61">
        <v>11</v>
      </c>
      <c r="E574" s="62">
        <v>29.98</v>
      </c>
      <c r="F574" s="62">
        <f>29.98*$G$7</f>
        <v>29.98</v>
      </c>
      <c r="G574" s="62">
        <f>D574*F574</f>
        <v>329.78000000000003</v>
      </c>
    </row>
    <row r="575" spans="1:7" ht="15" customHeight="1" x14ac:dyDescent="0.25">
      <c r="A575" s="59" t="s">
        <v>1136</v>
      </c>
      <c r="B575" s="59" t="s">
        <v>883</v>
      </c>
      <c r="C575" s="60" t="s">
        <v>62</v>
      </c>
      <c r="D575" s="61">
        <v>11</v>
      </c>
      <c r="E575" s="62">
        <v>6.32</v>
      </c>
      <c r="F575" s="62">
        <f>6.32*$G$7</f>
        <v>6.32</v>
      </c>
      <c r="G575" s="62">
        <f>D575*F575</f>
        <v>69.52000000000001</v>
      </c>
    </row>
    <row r="576" spans="1:7" s="70" customFormat="1" ht="15" customHeight="1" x14ac:dyDescent="0.25">
      <c r="A576" s="59" t="s">
        <v>1137</v>
      </c>
      <c r="B576" s="59" t="s">
        <v>885</v>
      </c>
      <c r="C576" s="60" t="s">
        <v>62</v>
      </c>
      <c r="D576" s="61">
        <v>11</v>
      </c>
      <c r="E576" s="62">
        <v>22.95</v>
      </c>
      <c r="F576" s="62">
        <f>22.95*$G$7</f>
        <v>22.95</v>
      </c>
      <c r="G576" s="62">
        <f>D576*F576</f>
        <v>252.45</v>
      </c>
    </row>
    <row r="577" spans="1:7" s="70" customFormat="1" ht="15" customHeight="1" x14ac:dyDescent="0.25">
      <c r="A577" s="59" t="s">
        <v>1138</v>
      </c>
      <c r="B577" s="59" t="s">
        <v>1139</v>
      </c>
      <c r="C577" s="60" t="s">
        <v>62</v>
      </c>
      <c r="D577" s="61">
        <v>2</v>
      </c>
      <c r="E577" s="62">
        <v>861.15</v>
      </c>
      <c r="F577" s="62">
        <f>861.15*$G$7</f>
        <v>861.15</v>
      </c>
      <c r="G577" s="62">
        <f>D577*F577</f>
        <v>1722.3</v>
      </c>
    </row>
    <row r="578" spans="1:7" ht="15" customHeight="1" x14ac:dyDescent="0.25">
      <c r="A578" s="55" t="s">
        <v>1140</v>
      </c>
      <c r="B578" s="55" t="s">
        <v>1141</v>
      </c>
      <c r="C578" s="55"/>
      <c r="D578" s="56"/>
      <c r="E578" s="57"/>
      <c r="F578" s="57"/>
      <c r="G578" s="57">
        <f>G579+G596</f>
        <v>20231.956299999994</v>
      </c>
    </row>
    <row r="579" spans="1:7" ht="15" customHeight="1" x14ac:dyDescent="0.25">
      <c r="A579" s="55" t="s">
        <v>1142</v>
      </c>
      <c r="B579" s="55" t="s">
        <v>1143</v>
      </c>
      <c r="C579" s="55"/>
      <c r="D579" s="56"/>
      <c r="E579" s="57"/>
      <c r="F579" s="57"/>
      <c r="G579" s="57">
        <f>SUM(G580:G595)</f>
        <v>17833.895899999996</v>
      </c>
    </row>
    <row r="580" spans="1:7" ht="24.95" customHeight="1" x14ac:dyDescent="0.25">
      <c r="A580" s="59" t="s">
        <v>1144</v>
      </c>
      <c r="B580" s="59" t="s">
        <v>1145</v>
      </c>
      <c r="C580" s="60" t="s">
        <v>232</v>
      </c>
      <c r="D580" s="61">
        <v>18.13</v>
      </c>
      <c r="E580" s="62">
        <v>12.13</v>
      </c>
      <c r="F580" s="62">
        <f>12.13*$G$7</f>
        <v>12.13</v>
      </c>
      <c r="G580" s="62">
        <f t="shared" ref="G580:G595" si="34">D580*F580</f>
        <v>219.9169</v>
      </c>
    </row>
    <row r="581" spans="1:7" s="70" customFormat="1" ht="24.95" customHeight="1" x14ac:dyDescent="0.25">
      <c r="A581" s="59" t="s">
        <v>1146</v>
      </c>
      <c r="B581" s="59" t="s">
        <v>1030</v>
      </c>
      <c r="C581" s="60" t="s">
        <v>232</v>
      </c>
      <c r="D581" s="61">
        <v>17.21</v>
      </c>
      <c r="E581" s="62">
        <v>9.34</v>
      </c>
      <c r="F581" s="62">
        <f>9.34*$G$7</f>
        <v>9.34</v>
      </c>
      <c r="G581" s="62">
        <f t="shared" si="34"/>
        <v>160.7414</v>
      </c>
    </row>
    <row r="582" spans="1:7" s="70" customFormat="1" ht="24.95" customHeight="1" x14ac:dyDescent="0.25">
      <c r="A582" s="59" t="s">
        <v>1147</v>
      </c>
      <c r="B582" s="59" t="s">
        <v>1148</v>
      </c>
      <c r="C582" s="60" t="s">
        <v>48</v>
      </c>
      <c r="D582" s="61">
        <v>10</v>
      </c>
      <c r="E582" s="62">
        <v>10.24</v>
      </c>
      <c r="F582" s="62">
        <f>10.24*$G$7</f>
        <v>10.24</v>
      </c>
      <c r="G582" s="62">
        <f t="shared" si="34"/>
        <v>102.4</v>
      </c>
    </row>
    <row r="583" spans="1:7" s="70" customFormat="1" ht="24.95" customHeight="1" x14ac:dyDescent="0.25">
      <c r="A583" s="59" t="s">
        <v>1149</v>
      </c>
      <c r="B583" s="59" t="s">
        <v>825</v>
      </c>
      <c r="C583" s="60" t="s">
        <v>48</v>
      </c>
      <c r="D583" s="61">
        <v>1</v>
      </c>
      <c r="E583" s="62">
        <v>73.23</v>
      </c>
      <c r="F583" s="62">
        <f>73.23*$G$7</f>
        <v>73.23</v>
      </c>
      <c r="G583" s="62">
        <f t="shared" si="34"/>
        <v>73.23</v>
      </c>
    </row>
    <row r="584" spans="1:7" s="70" customFormat="1" ht="24.95" customHeight="1" x14ac:dyDescent="0.25">
      <c r="A584" s="59" t="s">
        <v>1150</v>
      </c>
      <c r="B584" s="59" t="s">
        <v>1151</v>
      </c>
      <c r="C584" s="60" t="s">
        <v>48</v>
      </c>
      <c r="D584" s="61">
        <v>2</v>
      </c>
      <c r="E584" s="62">
        <v>97.58</v>
      </c>
      <c r="F584" s="62">
        <f>97.58*$G$7</f>
        <v>97.58</v>
      </c>
      <c r="G584" s="62">
        <f t="shared" si="34"/>
        <v>195.16</v>
      </c>
    </row>
    <row r="585" spans="1:7" ht="15" customHeight="1" x14ac:dyDescent="0.25">
      <c r="A585" s="59" t="s">
        <v>1152</v>
      </c>
      <c r="B585" s="59" t="s">
        <v>1153</v>
      </c>
      <c r="C585" s="60" t="s">
        <v>235</v>
      </c>
      <c r="D585" s="61">
        <v>23.83</v>
      </c>
      <c r="E585" s="62">
        <v>11.67</v>
      </c>
      <c r="F585" s="62">
        <f>11.67*$G$7</f>
        <v>11.67</v>
      </c>
      <c r="G585" s="62">
        <f t="shared" si="34"/>
        <v>278.09609999999998</v>
      </c>
    </row>
    <row r="586" spans="1:7" s="70" customFormat="1" ht="15" customHeight="1" x14ac:dyDescent="0.25">
      <c r="A586" s="59" t="s">
        <v>1154</v>
      </c>
      <c r="B586" s="59" t="s">
        <v>1155</v>
      </c>
      <c r="C586" s="60" t="s">
        <v>48</v>
      </c>
      <c r="D586" s="61">
        <v>4</v>
      </c>
      <c r="E586" s="62">
        <v>38.96</v>
      </c>
      <c r="F586" s="62">
        <f>38.96*$G$7</f>
        <v>38.96</v>
      </c>
      <c r="G586" s="62">
        <f t="shared" si="34"/>
        <v>155.84</v>
      </c>
    </row>
    <row r="587" spans="1:7" s="70" customFormat="1" ht="15" customHeight="1" x14ac:dyDescent="0.25">
      <c r="A587" s="59" t="s">
        <v>1156</v>
      </c>
      <c r="B587" s="59" t="s">
        <v>1157</v>
      </c>
      <c r="C587" s="60" t="s">
        <v>235</v>
      </c>
      <c r="D587" s="61">
        <v>26.97</v>
      </c>
      <c r="E587" s="62">
        <v>7.75</v>
      </c>
      <c r="F587" s="62">
        <f>7.75*$G$7</f>
        <v>7.75</v>
      </c>
      <c r="G587" s="62">
        <f t="shared" si="34"/>
        <v>209.01749999999998</v>
      </c>
    </row>
    <row r="588" spans="1:7" s="70" customFormat="1" ht="15" customHeight="1" x14ac:dyDescent="0.25">
      <c r="A588" s="59" t="s">
        <v>1158</v>
      </c>
      <c r="B588" s="59" t="s">
        <v>1159</v>
      </c>
      <c r="C588" s="60" t="s">
        <v>62</v>
      </c>
      <c r="D588" s="61">
        <v>8</v>
      </c>
      <c r="E588" s="62">
        <v>275.83</v>
      </c>
      <c r="F588" s="62">
        <f>275.83*$G$7</f>
        <v>275.83</v>
      </c>
      <c r="G588" s="62">
        <f t="shared" si="34"/>
        <v>2206.64</v>
      </c>
    </row>
    <row r="589" spans="1:7" ht="24.95" customHeight="1" x14ac:dyDescent="0.25">
      <c r="A589" s="59" t="s">
        <v>1160</v>
      </c>
      <c r="B589" s="59" t="s">
        <v>1161</v>
      </c>
      <c r="C589" s="60" t="s">
        <v>62</v>
      </c>
      <c r="D589" s="61">
        <v>2</v>
      </c>
      <c r="E589" s="62">
        <v>5372.24</v>
      </c>
      <c r="F589" s="62">
        <f>5372.24*$G$7</f>
        <v>5372.24</v>
      </c>
      <c r="G589" s="62">
        <f t="shared" si="34"/>
        <v>10744.48</v>
      </c>
    </row>
    <row r="590" spans="1:7" s="70" customFormat="1" ht="24.95" customHeight="1" x14ac:dyDescent="0.25">
      <c r="A590" s="59" t="s">
        <v>1162</v>
      </c>
      <c r="B590" s="59" t="s">
        <v>1163</v>
      </c>
      <c r="C590" s="60" t="s">
        <v>62</v>
      </c>
      <c r="D590" s="61">
        <v>2</v>
      </c>
      <c r="E590" s="62">
        <v>199.04</v>
      </c>
      <c r="F590" s="62">
        <f>199.04*$G$7</f>
        <v>199.04</v>
      </c>
      <c r="G590" s="62">
        <f t="shared" si="34"/>
        <v>398.08</v>
      </c>
    </row>
    <row r="591" spans="1:7" ht="15" customHeight="1" x14ac:dyDescent="0.25">
      <c r="A591" s="59" t="s">
        <v>1164</v>
      </c>
      <c r="B591" s="59" t="s">
        <v>1165</v>
      </c>
      <c r="C591" s="60" t="s">
        <v>62</v>
      </c>
      <c r="D591" s="61">
        <v>2</v>
      </c>
      <c r="E591" s="62">
        <v>366.88</v>
      </c>
      <c r="F591" s="62">
        <f>366.88*$G$7</f>
        <v>366.88</v>
      </c>
      <c r="G591" s="62">
        <f t="shared" si="34"/>
        <v>733.76</v>
      </c>
    </row>
    <row r="592" spans="1:7" s="70" customFormat="1" ht="15" customHeight="1" x14ac:dyDescent="0.25">
      <c r="A592" s="59" t="s">
        <v>1166</v>
      </c>
      <c r="B592" s="59" t="s">
        <v>1167</v>
      </c>
      <c r="C592" s="60" t="s">
        <v>62</v>
      </c>
      <c r="D592" s="61">
        <v>4</v>
      </c>
      <c r="E592" s="62">
        <v>241.4</v>
      </c>
      <c r="F592" s="62">
        <f>241.4*$G$7</f>
        <v>241.4</v>
      </c>
      <c r="G592" s="62">
        <f t="shared" si="34"/>
        <v>965.6</v>
      </c>
    </row>
    <row r="593" spans="1:7" s="70" customFormat="1" ht="15" customHeight="1" x14ac:dyDescent="0.25">
      <c r="A593" s="59" t="s">
        <v>1168</v>
      </c>
      <c r="B593" s="59" t="s">
        <v>1169</v>
      </c>
      <c r="C593" s="60" t="s">
        <v>62</v>
      </c>
      <c r="D593" s="61">
        <v>1</v>
      </c>
      <c r="E593" s="62">
        <v>441.67</v>
      </c>
      <c r="F593" s="62">
        <f>441.67*$G$7</f>
        <v>441.67</v>
      </c>
      <c r="G593" s="62">
        <f t="shared" si="34"/>
        <v>441.67</v>
      </c>
    </row>
    <row r="594" spans="1:7" s="70" customFormat="1" ht="15" customHeight="1" x14ac:dyDescent="0.25">
      <c r="A594" s="59" t="s">
        <v>1170</v>
      </c>
      <c r="B594" s="59" t="s">
        <v>1171</v>
      </c>
      <c r="C594" s="60" t="s">
        <v>48</v>
      </c>
      <c r="D594" s="61">
        <v>2</v>
      </c>
      <c r="E594" s="62">
        <v>438.77</v>
      </c>
      <c r="F594" s="62">
        <f>438.77*$G$7</f>
        <v>438.77</v>
      </c>
      <c r="G594" s="62">
        <f t="shared" si="34"/>
        <v>877.54</v>
      </c>
    </row>
    <row r="595" spans="1:7" s="70" customFormat="1" ht="24.95" customHeight="1" x14ac:dyDescent="0.25">
      <c r="A595" s="59" t="s">
        <v>1172</v>
      </c>
      <c r="B595" s="59" t="s">
        <v>748</v>
      </c>
      <c r="C595" s="60" t="s">
        <v>232</v>
      </c>
      <c r="D595" s="61">
        <v>5.16</v>
      </c>
      <c r="E595" s="62">
        <v>13.9</v>
      </c>
      <c r="F595" s="62">
        <f>13.9*$G$7</f>
        <v>13.9</v>
      </c>
      <c r="G595" s="62">
        <f t="shared" si="34"/>
        <v>71.724000000000004</v>
      </c>
    </row>
    <row r="596" spans="1:7" ht="15" customHeight="1" x14ac:dyDescent="0.25">
      <c r="A596" s="55" t="s">
        <v>1173</v>
      </c>
      <c r="B596" s="55" t="s">
        <v>1174</v>
      </c>
      <c r="C596" s="55"/>
      <c r="D596" s="56"/>
      <c r="E596" s="57"/>
      <c r="F596" s="57"/>
      <c r="G596" s="57">
        <f>SUM(G597:G606)</f>
        <v>2398.0603999999998</v>
      </c>
    </row>
    <row r="597" spans="1:7" ht="15" customHeight="1" x14ac:dyDescent="0.25">
      <c r="A597" s="59" t="s">
        <v>1175</v>
      </c>
      <c r="B597" s="59" t="s">
        <v>1176</v>
      </c>
      <c r="C597" s="60" t="s">
        <v>235</v>
      </c>
      <c r="D597" s="61">
        <v>63.41</v>
      </c>
      <c r="E597" s="62">
        <v>6.33</v>
      </c>
      <c r="F597" s="62">
        <f>6.33*$G$7</f>
        <v>6.33</v>
      </c>
      <c r="G597" s="62">
        <f t="shared" ref="G597:G606" si="35">D597*F597</f>
        <v>401.38529999999997</v>
      </c>
    </row>
    <row r="598" spans="1:7" ht="24.95" customHeight="1" x14ac:dyDescent="0.25">
      <c r="A598" s="59" t="s">
        <v>1177</v>
      </c>
      <c r="B598" s="59" t="s">
        <v>825</v>
      </c>
      <c r="C598" s="60" t="s">
        <v>48</v>
      </c>
      <c r="D598" s="61">
        <v>2</v>
      </c>
      <c r="E598" s="62">
        <v>73.23</v>
      </c>
      <c r="F598" s="62">
        <f>73.23*$G$7</f>
        <v>73.23</v>
      </c>
      <c r="G598" s="62">
        <f t="shared" si="35"/>
        <v>146.46</v>
      </c>
    </row>
    <row r="599" spans="1:7" s="70" customFormat="1" ht="24.95" customHeight="1" x14ac:dyDescent="0.25">
      <c r="A599" s="59" t="s">
        <v>1178</v>
      </c>
      <c r="B599" s="59" t="s">
        <v>1179</v>
      </c>
      <c r="C599" s="60" t="s">
        <v>48</v>
      </c>
      <c r="D599" s="61">
        <v>1</v>
      </c>
      <c r="E599" s="62">
        <v>97.58</v>
      </c>
      <c r="F599" s="62">
        <f>97.58*$G$7</f>
        <v>97.58</v>
      </c>
      <c r="G599" s="62">
        <f t="shared" si="35"/>
        <v>97.58</v>
      </c>
    </row>
    <row r="600" spans="1:7" s="70" customFormat="1" ht="24.95" customHeight="1" x14ac:dyDescent="0.25">
      <c r="A600" s="59" t="s">
        <v>1180</v>
      </c>
      <c r="B600" s="59" t="s">
        <v>1181</v>
      </c>
      <c r="C600" s="60" t="s">
        <v>48</v>
      </c>
      <c r="D600" s="61">
        <v>8</v>
      </c>
      <c r="E600" s="62">
        <v>25.01</v>
      </c>
      <c r="F600" s="62">
        <f>25.01*$G$7</f>
        <v>25.01</v>
      </c>
      <c r="G600" s="62">
        <f t="shared" si="35"/>
        <v>200.08</v>
      </c>
    </row>
    <row r="601" spans="1:7" s="70" customFormat="1" ht="20.100000000000001" customHeight="1" x14ac:dyDescent="0.25">
      <c r="A601" s="59" t="s">
        <v>1182</v>
      </c>
      <c r="B601" s="59" t="s">
        <v>1183</v>
      </c>
      <c r="C601" s="60" t="s">
        <v>62</v>
      </c>
      <c r="D601" s="61">
        <v>1</v>
      </c>
      <c r="E601" s="62">
        <v>829.02</v>
      </c>
      <c r="F601" s="62">
        <f>829.02*$G$7</f>
        <v>829.02</v>
      </c>
      <c r="G601" s="62">
        <f t="shared" si="35"/>
        <v>829.02</v>
      </c>
    </row>
    <row r="602" spans="1:7" s="70" customFormat="1" ht="20.100000000000001" customHeight="1" x14ac:dyDescent="0.25">
      <c r="A602" s="59" t="s">
        <v>1184</v>
      </c>
      <c r="B602" s="59" t="s">
        <v>1185</v>
      </c>
      <c r="C602" s="60" t="s">
        <v>48</v>
      </c>
      <c r="D602" s="61">
        <v>1</v>
      </c>
      <c r="E602" s="62">
        <v>240.52</v>
      </c>
      <c r="F602" s="62">
        <f>240.52*$G$7</f>
        <v>240.52</v>
      </c>
      <c r="G602" s="62">
        <f t="shared" si="35"/>
        <v>240.52</v>
      </c>
    </row>
    <row r="603" spans="1:7" s="70" customFormat="1" ht="20.100000000000001" customHeight="1" x14ac:dyDescent="0.25">
      <c r="A603" s="59" t="s">
        <v>1186</v>
      </c>
      <c r="B603" s="59" t="s">
        <v>1187</v>
      </c>
      <c r="C603" s="60" t="s">
        <v>62</v>
      </c>
      <c r="D603" s="61">
        <v>1</v>
      </c>
      <c r="E603" s="62">
        <v>32.6</v>
      </c>
      <c r="F603" s="62">
        <f>32.6*$G$7</f>
        <v>32.6</v>
      </c>
      <c r="G603" s="62">
        <f t="shared" si="35"/>
        <v>32.6</v>
      </c>
    </row>
    <row r="604" spans="1:7" s="70" customFormat="1" ht="20.100000000000001" customHeight="1" x14ac:dyDescent="0.25">
      <c r="A604" s="59" t="s">
        <v>1188</v>
      </c>
      <c r="B604" s="59" t="s">
        <v>1189</v>
      </c>
      <c r="C604" s="60" t="s">
        <v>62</v>
      </c>
      <c r="D604" s="61">
        <v>2</v>
      </c>
      <c r="E604" s="62">
        <v>18.420000000000002</v>
      </c>
      <c r="F604" s="62">
        <f>18.42*$G$7</f>
        <v>18.420000000000002</v>
      </c>
      <c r="G604" s="62">
        <f t="shared" si="35"/>
        <v>36.840000000000003</v>
      </c>
    </row>
    <row r="605" spans="1:7" s="70" customFormat="1" ht="30" customHeight="1" x14ac:dyDescent="0.25">
      <c r="A605" s="59" t="s">
        <v>1190</v>
      </c>
      <c r="B605" s="59" t="s">
        <v>948</v>
      </c>
      <c r="C605" s="60" t="s">
        <v>232</v>
      </c>
      <c r="D605" s="61">
        <v>26.96</v>
      </c>
      <c r="E605" s="62">
        <v>10.6</v>
      </c>
      <c r="F605" s="62">
        <f>10.6*$G$7</f>
        <v>10.6</v>
      </c>
      <c r="G605" s="62">
        <f t="shared" si="35"/>
        <v>285.77600000000001</v>
      </c>
    </row>
    <row r="606" spans="1:7" s="70" customFormat="1" ht="30" customHeight="1" x14ac:dyDescent="0.25">
      <c r="A606" s="59" t="s">
        <v>1191</v>
      </c>
      <c r="B606" s="59" t="s">
        <v>950</v>
      </c>
      <c r="C606" s="60" t="s">
        <v>232</v>
      </c>
      <c r="D606" s="61">
        <v>9.93</v>
      </c>
      <c r="E606" s="62">
        <v>12.87</v>
      </c>
      <c r="F606" s="62">
        <f>12.87*$G$7</f>
        <v>12.87</v>
      </c>
      <c r="G606" s="62">
        <f t="shared" si="35"/>
        <v>127.79909999999998</v>
      </c>
    </row>
    <row r="607" spans="1:7" ht="15" customHeight="1" x14ac:dyDescent="0.25">
      <c r="A607" s="55" t="s">
        <v>1192</v>
      </c>
      <c r="B607" s="55" t="s">
        <v>1193</v>
      </c>
      <c r="C607" s="55"/>
      <c r="D607" s="56"/>
      <c r="E607" s="57"/>
      <c r="F607" s="57"/>
      <c r="G607" s="57">
        <f>G608+G638+G653</f>
        <v>103032.799</v>
      </c>
    </row>
    <row r="608" spans="1:7" ht="15" customHeight="1" x14ac:dyDescent="0.25">
      <c r="A608" s="55" t="s">
        <v>1194</v>
      </c>
      <c r="B608" s="55" t="s">
        <v>1195</v>
      </c>
      <c r="C608" s="55"/>
      <c r="D608" s="56"/>
      <c r="E608" s="57"/>
      <c r="F608" s="57"/>
      <c r="G608" s="57">
        <f>SUM(G609:G637)</f>
        <v>34870.913000000008</v>
      </c>
    </row>
    <row r="609" spans="1:7" ht="45" customHeight="1" x14ac:dyDescent="0.25">
      <c r="A609" s="59" t="s">
        <v>1196</v>
      </c>
      <c r="B609" s="59" t="s">
        <v>1197</v>
      </c>
      <c r="C609" s="60" t="s">
        <v>232</v>
      </c>
      <c r="D609" s="61">
        <v>52.1</v>
      </c>
      <c r="E609" s="62">
        <v>25.43</v>
      </c>
      <c r="F609" s="62">
        <f>25.43*$G$7</f>
        <v>25.43</v>
      </c>
      <c r="G609" s="62">
        <f t="shared" ref="G609:G637" si="36">D609*F609</f>
        <v>1324.903</v>
      </c>
    </row>
    <row r="610" spans="1:7" s="70" customFormat="1" ht="45" customHeight="1" x14ac:dyDescent="0.25">
      <c r="A610" s="59" t="s">
        <v>1198</v>
      </c>
      <c r="B610" s="59" t="s">
        <v>1199</v>
      </c>
      <c r="C610" s="60" t="s">
        <v>232</v>
      </c>
      <c r="D610" s="61">
        <v>27.6</v>
      </c>
      <c r="E610" s="62">
        <v>26.1</v>
      </c>
      <c r="F610" s="62">
        <f>26.1*$G$7</f>
        <v>26.1</v>
      </c>
      <c r="G610" s="62">
        <f t="shared" si="36"/>
        <v>720.36000000000013</v>
      </c>
    </row>
    <row r="611" spans="1:7" s="70" customFormat="1" ht="45" customHeight="1" x14ac:dyDescent="0.25">
      <c r="A611" s="59" t="s">
        <v>1200</v>
      </c>
      <c r="B611" s="59" t="s">
        <v>1201</v>
      </c>
      <c r="C611" s="60" t="s">
        <v>232</v>
      </c>
      <c r="D611" s="61">
        <v>437.7</v>
      </c>
      <c r="E611" s="62">
        <v>42.32</v>
      </c>
      <c r="F611" s="62">
        <f>42.32*$G$7</f>
        <v>42.32</v>
      </c>
      <c r="G611" s="62">
        <f t="shared" si="36"/>
        <v>18523.464</v>
      </c>
    </row>
    <row r="612" spans="1:7" s="70" customFormat="1" ht="45" customHeight="1" x14ac:dyDescent="0.25">
      <c r="A612" s="59" t="s">
        <v>1202</v>
      </c>
      <c r="B612" s="59" t="s">
        <v>1203</v>
      </c>
      <c r="C612" s="60" t="s">
        <v>48</v>
      </c>
      <c r="D612" s="61">
        <v>14</v>
      </c>
      <c r="E612" s="62">
        <v>86.21</v>
      </c>
      <c r="F612" s="62">
        <f>86.21*$G$7</f>
        <v>86.21</v>
      </c>
      <c r="G612" s="62">
        <f t="shared" si="36"/>
        <v>1206.9399999999998</v>
      </c>
    </row>
    <row r="613" spans="1:7" s="70" customFormat="1" ht="45" customHeight="1" x14ac:dyDescent="0.25">
      <c r="A613" s="59" t="s">
        <v>1204</v>
      </c>
      <c r="B613" s="59" t="s">
        <v>1205</v>
      </c>
      <c r="C613" s="60" t="s">
        <v>232</v>
      </c>
      <c r="D613" s="61">
        <v>2.9</v>
      </c>
      <c r="E613" s="62">
        <v>42.54</v>
      </c>
      <c r="F613" s="62">
        <f>42.54*$G$7</f>
        <v>42.54</v>
      </c>
      <c r="G613" s="62">
        <f t="shared" si="36"/>
        <v>123.366</v>
      </c>
    </row>
    <row r="614" spans="1:7" s="70" customFormat="1" ht="45" customHeight="1" x14ac:dyDescent="0.25">
      <c r="A614" s="59" t="s">
        <v>1206</v>
      </c>
      <c r="B614" s="59" t="s">
        <v>1207</v>
      </c>
      <c r="C614" s="60" t="s">
        <v>48</v>
      </c>
      <c r="D614" s="61">
        <v>9</v>
      </c>
      <c r="E614" s="62">
        <v>39.729999999999997</v>
      </c>
      <c r="F614" s="62">
        <f>39.73*$G$7</f>
        <v>39.729999999999997</v>
      </c>
      <c r="G614" s="62">
        <f t="shared" si="36"/>
        <v>357.57</v>
      </c>
    </row>
    <row r="615" spans="1:7" s="70" customFormat="1" ht="45" customHeight="1" x14ac:dyDescent="0.25">
      <c r="A615" s="59" t="s">
        <v>1208</v>
      </c>
      <c r="B615" s="59" t="s">
        <v>1209</v>
      </c>
      <c r="C615" s="60" t="s">
        <v>48</v>
      </c>
      <c r="D615" s="61">
        <v>9</v>
      </c>
      <c r="E615" s="62">
        <v>84.7</v>
      </c>
      <c r="F615" s="62">
        <f>84.7*$G$7</f>
        <v>84.7</v>
      </c>
      <c r="G615" s="62">
        <f t="shared" si="36"/>
        <v>762.30000000000007</v>
      </c>
    </row>
    <row r="616" spans="1:7" s="70" customFormat="1" ht="45" customHeight="1" x14ac:dyDescent="0.25">
      <c r="A616" s="59" t="s">
        <v>1210</v>
      </c>
      <c r="B616" s="59" t="s">
        <v>1211</v>
      </c>
      <c r="C616" s="60" t="s">
        <v>48</v>
      </c>
      <c r="D616" s="61">
        <v>5</v>
      </c>
      <c r="E616" s="62">
        <v>102.69</v>
      </c>
      <c r="F616" s="62">
        <f>102.69*$G$7</f>
        <v>102.69</v>
      </c>
      <c r="G616" s="62">
        <f t="shared" si="36"/>
        <v>513.45000000000005</v>
      </c>
    </row>
    <row r="617" spans="1:7" s="70" customFormat="1" ht="30" customHeight="1" x14ac:dyDescent="0.25">
      <c r="A617" s="59" t="s">
        <v>1212</v>
      </c>
      <c r="B617" s="59" t="s">
        <v>1213</v>
      </c>
      <c r="C617" s="60" t="s">
        <v>48</v>
      </c>
      <c r="D617" s="61">
        <v>4</v>
      </c>
      <c r="E617" s="62">
        <v>16.95</v>
      </c>
      <c r="F617" s="62">
        <f>16.95*$G$7</f>
        <v>16.95</v>
      </c>
      <c r="G617" s="62">
        <f t="shared" si="36"/>
        <v>67.8</v>
      </c>
    </row>
    <row r="618" spans="1:7" s="70" customFormat="1" ht="30" customHeight="1" x14ac:dyDescent="0.25">
      <c r="A618" s="59" t="s">
        <v>1214</v>
      </c>
      <c r="B618" s="59" t="s">
        <v>1215</v>
      </c>
      <c r="C618" s="60" t="s">
        <v>48</v>
      </c>
      <c r="D618" s="61">
        <v>2</v>
      </c>
      <c r="E618" s="62">
        <v>36.520000000000003</v>
      </c>
      <c r="F618" s="62">
        <f>36.52*$G$7</f>
        <v>36.520000000000003</v>
      </c>
      <c r="G618" s="62">
        <f t="shared" si="36"/>
        <v>73.040000000000006</v>
      </c>
    </row>
    <row r="619" spans="1:7" s="70" customFormat="1" ht="30" customHeight="1" x14ac:dyDescent="0.25">
      <c r="A619" s="59" t="s">
        <v>1216</v>
      </c>
      <c r="B619" s="59" t="s">
        <v>1217</v>
      </c>
      <c r="C619" s="60" t="s">
        <v>48</v>
      </c>
      <c r="D619" s="61">
        <v>1</v>
      </c>
      <c r="E619" s="62">
        <v>28.97</v>
      </c>
      <c r="F619" s="62">
        <f>28.97*$G$7</f>
        <v>28.97</v>
      </c>
      <c r="G619" s="62">
        <f t="shared" si="36"/>
        <v>28.97</v>
      </c>
    </row>
    <row r="620" spans="1:7" s="70" customFormat="1" ht="30" customHeight="1" x14ac:dyDescent="0.25">
      <c r="A620" s="59" t="s">
        <v>1218</v>
      </c>
      <c r="B620" s="59" t="s">
        <v>1219</v>
      </c>
      <c r="C620" s="60" t="s">
        <v>48</v>
      </c>
      <c r="D620" s="61">
        <v>4</v>
      </c>
      <c r="E620" s="62">
        <v>86.16</v>
      </c>
      <c r="F620" s="62">
        <f>86.16*$G$7</f>
        <v>86.16</v>
      </c>
      <c r="G620" s="62">
        <f t="shared" si="36"/>
        <v>344.64</v>
      </c>
    </row>
    <row r="621" spans="1:7" s="70" customFormat="1" ht="30" customHeight="1" x14ac:dyDescent="0.25">
      <c r="A621" s="59" t="s">
        <v>1220</v>
      </c>
      <c r="B621" s="59" t="s">
        <v>1221</v>
      </c>
      <c r="C621" s="60" t="s">
        <v>62</v>
      </c>
      <c r="D621" s="61">
        <v>2</v>
      </c>
      <c r="E621" s="62">
        <v>1134.43</v>
      </c>
      <c r="F621" s="62">
        <f>1134.43*$G$7</f>
        <v>1134.43</v>
      </c>
      <c r="G621" s="62">
        <f t="shared" si="36"/>
        <v>2268.86</v>
      </c>
    </row>
    <row r="622" spans="1:7" s="70" customFormat="1" ht="30" customHeight="1" x14ac:dyDescent="0.25">
      <c r="A622" s="59" t="s">
        <v>1222</v>
      </c>
      <c r="B622" s="59" t="s">
        <v>1223</v>
      </c>
      <c r="C622" s="60" t="s">
        <v>48</v>
      </c>
      <c r="D622" s="61">
        <v>2</v>
      </c>
      <c r="E622" s="62">
        <v>66.14</v>
      </c>
      <c r="F622" s="62">
        <f>66.14*$G$7</f>
        <v>66.14</v>
      </c>
      <c r="G622" s="62">
        <f t="shared" si="36"/>
        <v>132.28</v>
      </c>
    </row>
    <row r="623" spans="1:7" s="70" customFormat="1" ht="30" customHeight="1" x14ac:dyDescent="0.25">
      <c r="A623" s="59" t="s">
        <v>1224</v>
      </c>
      <c r="B623" s="59" t="s">
        <v>1225</v>
      </c>
      <c r="C623" s="60" t="s">
        <v>48</v>
      </c>
      <c r="D623" s="61">
        <v>4</v>
      </c>
      <c r="E623" s="62">
        <v>184.19</v>
      </c>
      <c r="F623" s="62">
        <f>184.19*$G$7</f>
        <v>184.19</v>
      </c>
      <c r="G623" s="62">
        <f t="shared" si="36"/>
        <v>736.76</v>
      </c>
    </row>
    <row r="624" spans="1:7" s="70" customFormat="1" ht="30" customHeight="1" x14ac:dyDescent="0.25">
      <c r="A624" s="59" t="s">
        <v>1226</v>
      </c>
      <c r="B624" s="59" t="s">
        <v>1227</v>
      </c>
      <c r="C624" s="60" t="s">
        <v>48</v>
      </c>
      <c r="D624" s="61">
        <v>2</v>
      </c>
      <c r="E624" s="62">
        <v>2851.48</v>
      </c>
      <c r="F624" s="62">
        <f>2851.48*$G$7</f>
        <v>2851.48</v>
      </c>
      <c r="G624" s="62">
        <f t="shared" si="36"/>
        <v>5702.96</v>
      </c>
    </row>
    <row r="625" spans="1:7" s="70" customFormat="1" ht="30" customHeight="1" x14ac:dyDescent="0.25">
      <c r="A625" s="59" t="s">
        <v>1228</v>
      </c>
      <c r="B625" s="59" t="s">
        <v>1229</v>
      </c>
      <c r="C625" s="60" t="s">
        <v>48</v>
      </c>
      <c r="D625" s="61">
        <v>7</v>
      </c>
      <c r="E625" s="62">
        <v>38.17</v>
      </c>
      <c r="F625" s="62">
        <f>38.17*$G$7</f>
        <v>38.17</v>
      </c>
      <c r="G625" s="62">
        <f t="shared" si="36"/>
        <v>267.19</v>
      </c>
    </row>
    <row r="626" spans="1:7" s="70" customFormat="1" ht="30" customHeight="1" x14ac:dyDescent="0.25">
      <c r="A626" s="59" t="s">
        <v>1230</v>
      </c>
      <c r="B626" s="59" t="s">
        <v>1231</v>
      </c>
      <c r="C626" s="60" t="s">
        <v>62</v>
      </c>
      <c r="D626" s="61">
        <v>4</v>
      </c>
      <c r="E626" s="62">
        <v>55.6</v>
      </c>
      <c r="F626" s="62">
        <f>55.6*$G$7</f>
        <v>55.6</v>
      </c>
      <c r="G626" s="62">
        <f t="shared" si="36"/>
        <v>222.4</v>
      </c>
    </row>
    <row r="627" spans="1:7" s="70" customFormat="1" ht="45" customHeight="1" x14ac:dyDescent="0.25">
      <c r="A627" s="59" t="s">
        <v>1232</v>
      </c>
      <c r="B627" s="59" t="s">
        <v>1233</v>
      </c>
      <c r="C627" s="60" t="s">
        <v>48</v>
      </c>
      <c r="D627" s="61">
        <v>3</v>
      </c>
      <c r="E627" s="62">
        <v>77.91</v>
      </c>
      <c r="F627" s="62">
        <f>77.91*$G$7</f>
        <v>77.91</v>
      </c>
      <c r="G627" s="62">
        <f t="shared" si="36"/>
        <v>233.73</v>
      </c>
    </row>
    <row r="628" spans="1:7" s="70" customFormat="1" ht="30" customHeight="1" x14ac:dyDescent="0.25">
      <c r="A628" s="59" t="s">
        <v>1234</v>
      </c>
      <c r="B628" s="59" t="s">
        <v>1235</v>
      </c>
      <c r="C628" s="60" t="s">
        <v>48</v>
      </c>
      <c r="D628" s="61">
        <v>2</v>
      </c>
      <c r="E628" s="62">
        <v>69.290000000000006</v>
      </c>
      <c r="F628" s="62">
        <f>69.29*$G$7</f>
        <v>69.290000000000006</v>
      </c>
      <c r="G628" s="62">
        <f t="shared" si="36"/>
        <v>138.58000000000001</v>
      </c>
    </row>
    <row r="629" spans="1:7" s="70" customFormat="1" ht="30" customHeight="1" x14ac:dyDescent="0.25">
      <c r="A629" s="59" t="s">
        <v>1236</v>
      </c>
      <c r="B629" s="59" t="s">
        <v>1237</v>
      </c>
      <c r="C629" s="60" t="s">
        <v>62</v>
      </c>
      <c r="D629" s="61">
        <v>1</v>
      </c>
      <c r="E629" s="62">
        <v>582.82000000000005</v>
      </c>
      <c r="F629" s="62">
        <f>582.82*$G$7</f>
        <v>582.82000000000005</v>
      </c>
      <c r="G629" s="62">
        <f t="shared" si="36"/>
        <v>582.82000000000005</v>
      </c>
    </row>
    <row r="630" spans="1:7" s="70" customFormat="1" ht="30" customHeight="1" x14ac:dyDescent="0.25">
      <c r="A630" s="59" t="s">
        <v>1238</v>
      </c>
      <c r="B630" s="59" t="s">
        <v>1239</v>
      </c>
      <c r="C630" s="60" t="s">
        <v>48</v>
      </c>
      <c r="D630" s="61">
        <v>2</v>
      </c>
      <c r="E630" s="62">
        <v>9.91</v>
      </c>
      <c r="F630" s="62">
        <f>9.91*$G$7</f>
        <v>9.91</v>
      </c>
      <c r="G630" s="62">
        <f t="shared" si="36"/>
        <v>19.82</v>
      </c>
    </row>
    <row r="631" spans="1:7" s="70" customFormat="1" ht="30" customHeight="1" x14ac:dyDescent="0.25">
      <c r="A631" s="59" t="s">
        <v>1240</v>
      </c>
      <c r="B631" s="59" t="s">
        <v>1241</v>
      </c>
      <c r="C631" s="60" t="s">
        <v>48</v>
      </c>
      <c r="D631" s="61">
        <v>2</v>
      </c>
      <c r="E631" s="62">
        <v>14.99</v>
      </c>
      <c r="F631" s="62">
        <f>14.99*$G$7</f>
        <v>14.99</v>
      </c>
      <c r="G631" s="62">
        <f t="shared" si="36"/>
        <v>29.98</v>
      </c>
    </row>
    <row r="632" spans="1:7" s="70" customFormat="1" ht="30" customHeight="1" x14ac:dyDescent="0.25">
      <c r="A632" s="59" t="s">
        <v>1242</v>
      </c>
      <c r="B632" s="59" t="s">
        <v>1243</v>
      </c>
      <c r="C632" s="60" t="s">
        <v>48</v>
      </c>
      <c r="D632" s="61">
        <v>4</v>
      </c>
      <c r="E632" s="62">
        <v>8.32</v>
      </c>
      <c r="F632" s="62">
        <f>8.32*$G$7</f>
        <v>8.32</v>
      </c>
      <c r="G632" s="62">
        <f t="shared" si="36"/>
        <v>33.28</v>
      </c>
    </row>
    <row r="633" spans="1:7" s="70" customFormat="1" ht="45" customHeight="1" x14ac:dyDescent="0.25">
      <c r="A633" s="59" t="s">
        <v>1244</v>
      </c>
      <c r="B633" s="59" t="s">
        <v>1245</v>
      </c>
      <c r="C633" s="60" t="s">
        <v>48</v>
      </c>
      <c r="D633" s="61">
        <v>8</v>
      </c>
      <c r="E633" s="62">
        <v>26.5</v>
      </c>
      <c r="F633" s="62">
        <f>26.5*$G$7</f>
        <v>26.5</v>
      </c>
      <c r="G633" s="62">
        <f t="shared" si="36"/>
        <v>212</v>
      </c>
    </row>
    <row r="634" spans="1:7" s="70" customFormat="1" ht="45" customHeight="1" x14ac:dyDescent="0.25">
      <c r="A634" s="59" t="s">
        <v>1246</v>
      </c>
      <c r="B634" s="59" t="s">
        <v>1247</v>
      </c>
      <c r="C634" s="60" t="s">
        <v>48</v>
      </c>
      <c r="D634" s="61">
        <v>3</v>
      </c>
      <c r="E634" s="62">
        <v>22.68</v>
      </c>
      <c r="F634" s="62">
        <f>22.68*$G$7</f>
        <v>22.68</v>
      </c>
      <c r="G634" s="62">
        <f t="shared" si="36"/>
        <v>68.039999999999992</v>
      </c>
    </row>
    <row r="635" spans="1:7" s="70" customFormat="1" ht="45" customHeight="1" x14ac:dyDescent="0.25">
      <c r="A635" s="59" t="s">
        <v>1248</v>
      </c>
      <c r="B635" s="59" t="s">
        <v>1249</v>
      </c>
      <c r="C635" s="60" t="s">
        <v>48</v>
      </c>
      <c r="D635" s="61">
        <v>1</v>
      </c>
      <c r="E635" s="62">
        <v>19.34</v>
      </c>
      <c r="F635" s="62">
        <f>19.34*$G$7</f>
        <v>19.34</v>
      </c>
      <c r="G635" s="62">
        <f t="shared" si="36"/>
        <v>19.34</v>
      </c>
    </row>
    <row r="636" spans="1:7" s="70" customFormat="1" ht="30" customHeight="1" x14ac:dyDescent="0.25">
      <c r="A636" s="59" t="s">
        <v>1250</v>
      </c>
      <c r="B636" s="59" t="s">
        <v>1251</v>
      </c>
      <c r="C636" s="60" t="s">
        <v>48</v>
      </c>
      <c r="D636" s="61">
        <v>2</v>
      </c>
      <c r="E636" s="62">
        <v>47.27</v>
      </c>
      <c r="F636" s="62">
        <f>47.27*$G$7</f>
        <v>47.27</v>
      </c>
      <c r="G636" s="62">
        <f t="shared" si="36"/>
        <v>94.54</v>
      </c>
    </row>
    <row r="637" spans="1:7" s="70" customFormat="1" ht="30" customHeight="1" x14ac:dyDescent="0.25">
      <c r="A637" s="59" t="s">
        <v>1252</v>
      </c>
      <c r="B637" s="59" t="s">
        <v>1253</v>
      </c>
      <c r="C637" s="60" t="s">
        <v>48</v>
      </c>
      <c r="D637" s="61">
        <v>1</v>
      </c>
      <c r="E637" s="62">
        <v>61.53</v>
      </c>
      <c r="F637" s="62">
        <f>61.53*$G$7</f>
        <v>61.53</v>
      </c>
      <c r="G637" s="62">
        <f t="shared" si="36"/>
        <v>61.53</v>
      </c>
    </row>
    <row r="638" spans="1:7" ht="15" customHeight="1" x14ac:dyDescent="0.25">
      <c r="A638" s="55" t="s">
        <v>1254</v>
      </c>
      <c r="B638" s="55" t="s">
        <v>1255</v>
      </c>
      <c r="C638" s="55"/>
      <c r="D638" s="56"/>
      <c r="E638" s="57"/>
      <c r="F638" s="57"/>
      <c r="G638" s="57">
        <f>SUM(G639:G652)</f>
        <v>42161.780999999995</v>
      </c>
    </row>
    <row r="639" spans="1:7" ht="50.1" customHeight="1" x14ac:dyDescent="0.25">
      <c r="A639" s="59" t="s">
        <v>1256</v>
      </c>
      <c r="B639" s="59" t="s">
        <v>1257</v>
      </c>
      <c r="C639" s="60" t="s">
        <v>232</v>
      </c>
      <c r="D639" s="61">
        <v>24.1</v>
      </c>
      <c r="E639" s="62">
        <v>79.73</v>
      </c>
      <c r="F639" s="62">
        <f>79.73*$G$7</f>
        <v>79.73</v>
      </c>
      <c r="G639" s="62">
        <f t="shared" ref="G639:G652" si="37">D639*F639</f>
        <v>1921.4930000000002</v>
      </c>
    </row>
    <row r="640" spans="1:7" s="70" customFormat="1" ht="50.1" customHeight="1" x14ac:dyDescent="0.25">
      <c r="A640" s="59" t="s">
        <v>1258</v>
      </c>
      <c r="B640" s="59" t="s">
        <v>1259</v>
      </c>
      <c r="C640" s="60" t="s">
        <v>232</v>
      </c>
      <c r="D640" s="61">
        <v>74.5</v>
      </c>
      <c r="E640" s="62">
        <v>33.770000000000003</v>
      </c>
      <c r="F640" s="62">
        <f>33.77*$G$7</f>
        <v>33.770000000000003</v>
      </c>
      <c r="G640" s="62">
        <f t="shared" si="37"/>
        <v>2515.8650000000002</v>
      </c>
    </row>
    <row r="641" spans="1:7" s="70" customFormat="1" ht="50.1" customHeight="1" x14ac:dyDescent="0.25">
      <c r="A641" s="59" t="s">
        <v>1260</v>
      </c>
      <c r="B641" s="59" t="s">
        <v>1261</v>
      </c>
      <c r="C641" s="60" t="s">
        <v>232</v>
      </c>
      <c r="D641" s="61">
        <v>153.19999999999999</v>
      </c>
      <c r="E641" s="62">
        <v>59.8</v>
      </c>
      <c r="F641" s="62">
        <f>59.8*$G$7</f>
        <v>59.8</v>
      </c>
      <c r="G641" s="62">
        <f t="shared" si="37"/>
        <v>9161.3599999999988</v>
      </c>
    </row>
    <row r="642" spans="1:7" s="70" customFormat="1" ht="50.1" customHeight="1" x14ac:dyDescent="0.25">
      <c r="A642" s="59" t="s">
        <v>1262</v>
      </c>
      <c r="B642" s="59" t="s">
        <v>1263</v>
      </c>
      <c r="C642" s="60" t="s">
        <v>232</v>
      </c>
      <c r="D642" s="61">
        <v>23.5</v>
      </c>
      <c r="E642" s="62">
        <v>55.11</v>
      </c>
      <c r="F642" s="62">
        <f>55.11*$G$7</f>
        <v>55.11</v>
      </c>
      <c r="G642" s="62">
        <f t="shared" si="37"/>
        <v>1295.085</v>
      </c>
    </row>
    <row r="643" spans="1:7" s="70" customFormat="1" ht="50.1" customHeight="1" x14ac:dyDescent="0.25">
      <c r="A643" s="59" t="s">
        <v>1264</v>
      </c>
      <c r="B643" s="59" t="s">
        <v>1265</v>
      </c>
      <c r="C643" s="60" t="s">
        <v>48</v>
      </c>
      <c r="D643" s="61">
        <v>13</v>
      </c>
      <c r="E643" s="62">
        <v>34.93</v>
      </c>
      <c r="F643" s="62">
        <f>34.93*$G$7</f>
        <v>34.93</v>
      </c>
      <c r="G643" s="62">
        <f t="shared" si="37"/>
        <v>454.09</v>
      </c>
    </row>
    <row r="644" spans="1:7" s="70" customFormat="1" ht="20.100000000000001" customHeight="1" x14ac:dyDescent="0.25">
      <c r="A644" s="59" t="s">
        <v>1266</v>
      </c>
      <c r="B644" s="59" t="s">
        <v>1267</v>
      </c>
      <c r="C644" s="60" t="s">
        <v>232</v>
      </c>
      <c r="D644" s="61">
        <v>2.4</v>
      </c>
      <c r="E644" s="62">
        <v>176.82</v>
      </c>
      <c r="F644" s="62">
        <f>176.82*$G$7</f>
        <v>176.82</v>
      </c>
      <c r="G644" s="62">
        <f t="shared" si="37"/>
        <v>424.36799999999999</v>
      </c>
    </row>
    <row r="645" spans="1:7" s="70" customFormat="1" ht="20.100000000000001" customHeight="1" x14ac:dyDescent="0.25">
      <c r="A645" s="59" t="s">
        <v>1268</v>
      </c>
      <c r="B645" s="59" t="s">
        <v>1269</v>
      </c>
      <c r="C645" s="60" t="s">
        <v>62</v>
      </c>
      <c r="D645" s="61">
        <v>9</v>
      </c>
      <c r="E645" s="62">
        <v>10.69</v>
      </c>
      <c r="F645" s="62">
        <f>10.69*$G$7</f>
        <v>10.69</v>
      </c>
      <c r="G645" s="62">
        <f t="shared" si="37"/>
        <v>96.21</v>
      </c>
    </row>
    <row r="646" spans="1:7" s="70" customFormat="1" ht="50.1" customHeight="1" x14ac:dyDescent="0.25">
      <c r="A646" s="59" t="s">
        <v>1270</v>
      </c>
      <c r="B646" s="59" t="s">
        <v>971</v>
      </c>
      <c r="C646" s="60" t="s">
        <v>48</v>
      </c>
      <c r="D646" s="61">
        <v>15</v>
      </c>
      <c r="E646" s="62">
        <v>176.29</v>
      </c>
      <c r="F646" s="62">
        <f>176.29*$G$7</f>
        <v>176.29</v>
      </c>
      <c r="G646" s="62">
        <f t="shared" si="37"/>
        <v>2644.35</v>
      </c>
    </row>
    <row r="647" spans="1:7" s="70" customFormat="1" ht="30" customHeight="1" x14ac:dyDescent="0.25">
      <c r="A647" s="59" t="s">
        <v>1271</v>
      </c>
      <c r="B647" s="59" t="s">
        <v>1272</v>
      </c>
      <c r="C647" s="60" t="s">
        <v>48</v>
      </c>
      <c r="D647" s="61">
        <v>2</v>
      </c>
      <c r="E647" s="62">
        <v>299.58999999999997</v>
      </c>
      <c r="F647" s="62">
        <f>299.59*$G$7</f>
        <v>299.58999999999997</v>
      </c>
      <c r="G647" s="62">
        <f t="shared" si="37"/>
        <v>599.17999999999995</v>
      </c>
    </row>
    <row r="648" spans="1:7" s="70" customFormat="1" ht="35.1" customHeight="1" x14ac:dyDescent="0.25">
      <c r="A648" s="59" t="s">
        <v>1273</v>
      </c>
      <c r="B648" s="59" t="s">
        <v>1274</v>
      </c>
      <c r="C648" s="60" t="s">
        <v>48</v>
      </c>
      <c r="D648" s="61">
        <v>4</v>
      </c>
      <c r="E648" s="62">
        <v>432.1</v>
      </c>
      <c r="F648" s="62">
        <f>432.1*$G$7</f>
        <v>432.1</v>
      </c>
      <c r="G648" s="62">
        <f t="shared" si="37"/>
        <v>1728.4</v>
      </c>
    </row>
    <row r="649" spans="1:7" s="70" customFormat="1" ht="35.1" customHeight="1" x14ac:dyDescent="0.25">
      <c r="A649" s="59" t="s">
        <v>1275</v>
      </c>
      <c r="B649" s="59" t="s">
        <v>1276</v>
      </c>
      <c r="C649" s="60" t="s">
        <v>48</v>
      </c>
      <c r="D649" s="61">
        <v>2</v>
      </c>
      <c r="E649" s="62">
        <v>61.47</v>
      </c>
      <c r="F649" s="62">
        <f>61.47*$G$7</f>
        <v>61.47</v>
      </c>
      <c r="G649" s="62">
        <f t="shared" si="37"/>
        <v>122.94</v>
      </c>
    </row>
    <row r="650" spans="1:7" s="70" customFormat="1" ht="35.1" customHeight="1" x14ac:dyDescent="0.25">
      <c r="A650" s="59" t="s">
        <v>1277</v>
      </c>
      <c r="B650" s="59" t="s">
        <v>1278</v>
      </c>
      <c r="C650" s="60" t="s">
        <v>48</v>
      </c>
      <c r="D650" s="61">
        <v>3</v>
      </c>
      <c r="E650" s="62">
        <v>4086.26</v>
      </c>
      <c r="F650" s="62">
        <f>4086.26*$G$7</f>
        <v>4086.26</v>
      </c>
      <c r="G650" s="62">
        <f t="shared" si="37"/>
        <v>12258.78</v>
      </c>
    </row>
    <row r="651" spans="1:7" s="70" customFormat="1" ht="30" customHeight="1" x14ac:dyDescent="0.25">
      <c r="A651" s="59" t="s">
        <v>1279</v>
      </c>
      <c r="B651" s="59" t="s">
        <v>1280</v>
      </c>
      <c r="C651" s="60" t="s">
        <v>48</v>
      </c>
      <c r="D651" s="61">
        <v>1</v>
      </c>
      <c r="E651" s="62">
        <v>4215.8100000000004</v>
      </c>
      <c r="F651" s="62">
        <f>4215.81*$G$7</f>
        <v>4215.8100000000004</v>
      </c>
      <c r="G651" s="62">
        <f t="shared" si="37"/>
        <v>4215.8100000000004</v>
      </c>
    </row>
    <row r="652" spans="1:7" s="70" customFormat="1" ht="50.1" customHeight="1" x14ac:dyDescent="0.25">
      <c r="A652" s="59" t="s">
        <v>1281</v>
      </c>
      <c r="B652" s="59" t="s">
        <v>1282</v>
      </c>
      <c r="C652" s="60" t="s">
        <v>48</v>
      </c>
      <c r="D652" s="61">
        <v>1</v>
      </c>
      <c r="E652" s="62">
        <v>4723.8500000000004</v>
      </c>
      <c r="F652" s="62">
        <f>4723.85*$G$7</f>
        <v>4723.8500000000004</v>
      </c>
      <c r="G652" s="62">
        <f t="shared" si="37"/>
        <v>4723.8500000000004</v>
      </c>
    </row>
    <row r="653" spans="1:7" ht="15" customHeight="1" x14ac:dyDescent="0.25">
      <c r="A653" s="55" t="s">
        <v>1283</v>
      </c>
      <c r="B653" s="55" t="s">
        <v>1284</v>
      </c>
      <c r="C653" s="55"/>
      <c r="D653" s="56"/>
      <c r="E653" s="57"/>
      <c r="F653" s="57"/>
      <c r="G653" s="57">
        <f>SUM(G654:G660)</f>
        <v>26000.105</v>
      </c>
    </row>
    <row r="654" spans="1:7" ht="45" customHeight="1" x14ac:dyDescent="0.25">
      <c r="A654" s="59" t="s">
        <v>1285</v>
      </c>
      <c r="B654" s="59" t="s">
        <v>1286</v>
      </c>
      <c r="C654" s="60" t="s">
        <v>232</v>
      </c>
      <c r="D654" s="61">
        <v>174.8</v>
      </c>
      <c r="E654" s="62">
        <v>47.88</v>
      </c>
      <c r="F654" s="62">
        <f>47.88*$G$7</f>
        <v>47.88</v>
      </c>
      <c r="G654" s="62">
        <f t="shared" ref="G654:G660" si="38">D654*F654</f>
        <v>8369.4240000000009</v>
      </c>
    </row>
    <row r="655" spans="1:7" s="70" customFormat="1" ht="45" customHeight="1" x14ac:dyDescent="0.25">
      <c r="A655" s="59" t="s">
        <v>1287</v>
      </c>
      <c r="B655" s="59" t="s">
        <v>1288</v>
      </c>
      <c r="C655" s="60" t="s">
        <v>232</v>
      </c>
      <c r="D655" s="61">
        <v>9.1999999999999993</v>
      </c>
      <c r="E655" s="62">
        <v>31.88</v>
      </c>
      <c r="F655" s="62">
        <f>31.88*$G$7</f>
        <v>31.88</v>
      </c>
      <c r="G655" s="62">
        <f t="shared" si="38"/>
        <v>293.29599999999999</v>
      </c>
    </row>
    <row r="656" spans="1:7" ht="20.100000000000001" customHeight="1" x14ac:dyDescent="0.25">
      <c r="A656" s="59" t="s">
        <v>1289</v>
      </c>
      <c r="B656" s="59" t="s">
        <v>1290</v>
      </c>
      <c r="C656" s="60" t="s">
        <v>62</v>
      </c>
      <c r="D656" s="61">
        <v>21</v>
      </c>
      <c r="E656" s="62">
        <v>39.49</v>
      </c>
      <c r="F656" s="62">
        <f>39.49*$G$7</f>
        <v>39.49</v>
      </c>
      <c r="G656" s="62">
        <f t="shared" si="38"/>
        <v>829.29000000000008</v>
      </c>
    </row>
    <row r="657" spans="1:7" s="70" customFormat="1" ht="20.100000000000001" customHeight="1" x14ac:dyDescent="0.25">
      <c r="A657" s="59" t="s">
        <v>1291</v>
      </c>
      <c r="B657" s="59" t="s">
        <v>1292</v>
      </c>
      <c r="C657" s="60" t="s">
        <v>62</v>
      </c>
      <c r="D657" s="61">
        <v>2</v>
      </c>
      <c r="E657" s="62">
        <v>35.21</v>
      </c>
      <c r="F657" s="62">
        <f>35.21*$G$7</f>
        <v>35.21</v>
      </c>
      <c r="G657" s="62">
        <f t="shared" si="38"/>
        <v>70.42</v>
      </c>
    </row>
    <row r="658" spans="1:7" s="70" customFormat="1" ht="20.100000000000001" customHeight="1" x14ac:dyDescent="0.25">
      <c r="A658" s="59" t="s">
        <v>1293</v>
      </c>
      <c r="B658" s="59" t="s">
        <v>1294</v>
      </c>
      <c r="C658" s="60" t="s">
        <v>235</v>
      </c>
      <c r="D658" s="61">
        <v>70.099999999999994</v>
      </c>
      <c r="E658" s="62">
        <v>163.6</v>
      </c>
      <c r="F658" s="62">
        <f>163.6*$G$7</f>
        <v>163.6</v>
      </c>
      <c r="G658" s="62">
        <f t="shared" si="38"/>
        <v>11468.359999999999</v>
      </c>
    </row>
    <row r="659" spans="1:7" s="70" customFormat="1" ht="20.100000000000001" customHeight="1" x14ac:dyDescent="0.25">
      <c r="A659" s="59" t="s">
        <v>1295</v>
      </c>
      <c r="B659" s="59" t="s">
        <v>1296</v>
      </c>
      <c r="C659" s="60" t="s">
        <v>235</v>
      </c>
      <c r="D659" s="61">
        <v>107.9</v>
      </c>
      <c r="E659" s="62">
        <v>41.41</v>
      </c>
      <c r="F659" s="62">
        <f>41.41*$G$7</f>
        <v>41.41</v>
      </c>
      <c r="G659" s="62">
        <f t="shared" si="38"/>
        <v>4468.1390000000001</v>
      </c>
    </row>
    <row r="660" spans="1:7" s="70" customFormat="1" ht="20.100000000000001" customHeight="1" x14ac:dyDescent="0.25">
      <c r="A660" s="59" t="s">
        <v>1297</v>
      </c>
      <c r="B660" s="59" t="s">
        <v>1298</v>
      </c>
      <c r="C660" s="60" t="s">
        <v>53</v>
      </c>
      <c r="D660" s="61">
        <v>79.3</v>
      </c>
      <c r="E660" s="62">
        <v>6.32</v>
      </c>
      <c r="F660" s="62">
        <f>6.32*$G$7</f>
        <v>6.32</v>
      </c>
      <c r="G660" s="62">
        <f t="shared" si="38"/>
        <v>501.17599999999999</v>
      </c>
    </row>
    <row r="661" spans="1:7" ht="15" customHeight="1" x14ac:dyDescent="0.25">
      <c r="A661" s="55" t="s">
        <v>1299</v>
      </c>
      <c r="B661" s="55" t="s">
        <v>1300</v>
      </c>
      <c r="C661" s="55"/>
      <c r="D661" s="56"/>
      <c r="E661" s="57"/>
      <c r="F661" s="57"/>
      <c r="G661" s="57">
        <f>G662+G667+G690+G697+G708+G710+G715</f>
        <v>74805.649900000004</v>
      </c>
    </row>
    <row r="662" spans="1:7" ht="15" customHeight="1" x14ac:dyDescent="0.25">
      <c r="A662" s="55" t="s">
        <v>1301</v>
      </c>
      <c r="B662" s="55" t="s">
        <v>1302</v>
      </c>
      <c r="C662" s="55"/>
      <c r="D662" s="56"/>
      <c r="E662" s="57"/>
      <c r="F662" s="57"/>
      <c r="G662" s="57">
        <f>SUM(G663:G666)</f>
        <v>16995.268</v>
      </c>
    </row>
    <row r="663" spans="1:7" ht="39.950000000000003" customHeight="1" x14ac:dyDescent="0.25">
      <c r="A663" s="59" t="s">
        <v>1303</v>
      </c>
      <c r="B663" s="59" t="s">
        <v>1304</v>
      </c>
      <c r="C663" s="60" t="s">
        <v>232</v>
      </c>
      <c r="D663" s="61">
        <v>114.65</v>
      </c>
      <c r="E663" s="62">
        <v>80.12</v>
      </c>
      <c r="F663" s="62">
        <f>80.12*$G$7</f>
        <v>80.12</v>
      </c>
      <c r="G663" s="62">
        <f>D663*F663</f>
        <v>9185.7580000000016</v>
      </c>
    </row>
    <row r="664" spans="1:7" ht="45" customHeight="1" x14ac:dyDescent="0.25">
      <c r="A664" s="59" t="s">
        <v>1305</v>
      </c>
      <c r="B664" s="59" t="s">
        <v>1306</v>
      </c>
      <c r="C664" s="60" t="s">
        <v>48</v>
      </c>
      <c r="D664" s="61">
        <v>2</v>
      </c>
      <c r="E664" s="62">
        <v>2124.98</v>
      </c>
      <c r="F664" s="62">
        <f>2124.98*$G$7</f>
        <v>2124.98</v>
      </c>
      <c r="G664" s="62">
        <f>D664*F664</f>
        <v>4249.96</v>
      </c>
    </row>
    <row r="665" spans="1:7" ht="45" customHeight="1" x14ac:dyDescent="0.25">
      <c r="A665" s="59" t="s">
        <v>1307</v>
      </c>
      <c r="B665" s="59" t="s">
        <v>1308</v>
      </c>
      <c r="C665" s="60" t="s">
        <v>48</v>
      </c>
      <c r="D665" s="61">
        <v>1</v>
      </c>
      <c r="E665" s="62">
        <v>1043.94</v>
      </c>
      <c r="F665" s="62">
        <f>1043.94*$G$7</f>
        <v>1043.94</v>
      </c>
      <c r="G665" s="62">
        <f>D665*F665</f>
        <v>1043.94</v>
      </c>
    </row>
    <row r="666" spans="1:7" ht="60" customHeight="1" x14ac:dyDescent="0.25">
      <c r="A666" s="59" t="s">
        <v>1309</v>
      </c>
      <c r="B666" s="59" t="s">
        <v>1310</v>
      </c>
      <c r="C666" s="60" t="s">
        <v>48</v>
      </c>
      <c r="D666" s="61">
        <v>1</v>
      </c>
      <c r="E666" s="62">
        <v>2515.61</v>
      </c>
      <c r="F666" s="62">
        <f>2515.61*$G$7</f>
        <v>2515.61</v>
      </c>
      <c r="G666" s="62">
        <f>D666*F666</f>
        <v>2515.61</v>
      </c>
    </row>
    <row r="667" spans="1:7" ht="15" customHeight="1" x14ac:dyDescent="0.25">
      <c r="A667" s="55" t="s">
        <v>1311</v>
      </c>
      <c r="B667" s="55" t="s">
        <v>1312</v>
      </c>
      <c r="C667" s="55"/>
      <c r="D667" s="56"/>
      <c r="E667" s="57"/>
      <c r="F667" s="57"/>
      <c r="G667" s="57">
        <f>SUM(G668:G689)</f>
        <v>30509.884800000003</v>
      </c>
    </row>
    <row r="668" spans="1:7" ht="20.100000000000001" customHeight="1" x14ac:dyDescent="0.25">
      <c r="A668" s="59" t="s">
        <v>1313</v>
      </c>
      <c r="B668" s="59" t="s">
        <v>1314</v>
      </c>
      <c r="C668" s="60" t="s">
        <v>48</v>
      </c>
      <c r="D668" s="61">
        <v>2</v>
      </c>
      <c r="E668" s="62">
        <v>977.83</v>
      </c>
      <c r="F668" s="62">
        <f>977.83*$G$7</f>
        <v>977.83</v>
      </c>
      <c r="G668" s="62">
        <f t="shared" ref="G668:G689" si="39">D668*F668</f>
        <v>1955.66</v>
      </c>
    </row>
    <row r="669" spans="1:7" s="70" customFormat="1" ht="20.100000000000001" customHeight="1" x14ac:dyDescent="0.25">
      <c r="A669" s="59" t="s">
        <v>1315</v>
      </c>
      <c r="B669" s="59" t="s">
        <v>1316</v>
      </c>
      <c r="C669" s="60" t="s">
        <v>62</v>
      </c>
      <c r="D669" s="61">
        <v>1</v>
      </c>
      <c r="E669" s="62">
        <v>2043.88</v>
      </c>
      <c r="F669" s="62">
        <f>2043.88*$G$7</f>
        <v>2043.88</v>
      </c>
      <c r="G669" s="62">
        <f t="shared" si="39"/>
        <v>2043.88</v>
      </c>
    </row>
    <row r="670" spans="1:7" s="70" customFormat="1" ht="20.100000000000001" customHeight="1" x14ac:dyDescent="0.25">
      <c r="A670" s="59" t="s">
        <v>1317</v>
      </c>
      <c r="B670" s="59" t="s">
        <v>1318</v>
      </c>
      <c r="C670" s="60" t="s">
        <v>62</v>
      </c>
      <c r="D670" s="61">
        <v>1</v>
      </c>
      <c r="E670" s="62">
        <v>7618.62</v>
      </c>
      <c r="F670" s="62">
        <f>7618.62*$G$7</f>
        <v>7618.62</v>
      </c>
      <c r="G670" s="62">
        <f t="shared" si="39"/>
        <v>7618.62</v>
      </c>
    </row>
    <row r="671" spans="1:7" ht="35.1" customHeight="1" x14ac:dyDescent="0.25">
      <c r="A671" s="59" t="s">
        <v>1319</v>
      </c>
      <c r="B671" s="59" t="s">
        <v>1320</v>
      </c>
      <c r="C671" s="60" t="s">
        <v>48</v>
      </c>
      <c r="D671" s="61">
        <v>2</v>
      </c>
      <c r="E671" s="62">
        <v>198.2</v>
      </c>
      <c r="F671" s="62">
        <f>198.2*$G$7</f>
        <v>198.2</v>
      </c>
      <c r="G671" s="62">
        <f t="shared" si="39"/>
        <v>396.4</v>
      </c>
    </row>
    <row r="672" spans="1:7" s="70" customFormat="1" ht="35.1" customHeight="1" x14ac:dyDescent="0.25">
      <c r="A672" s="59" t="s">
        <v>1321</v>
      </c>
      <c r="B672" s="59" t="s">
        <v>1322</v>
      </c>
      <c r="C672" s="60" t="s">
        <v>48</v>
      </c>
      <c r="D672" s="61">
        <v>2</v>
      </c>
      <c r="E672" s="62">
        <v>137.76</v>
      </c>
      <c r="F672" s="62">
        <f>137.76*$G$7</f>
        <v>137.76</v>
      </c>
      <c r="G672" s="62">
        <f t="shared" si="39"/>
        <v>275.52</v>
      </c>
    </row>
    <row r="673" spans="1:7" ht="20.100000000000001" customHeight="1" x14ac:dyDescent="0.25">
      <c r="A673" s="59" t="s">
        <v>1323</v>
      </c>
      <c r="B673" s="59" t="s">
        <v>1324</v>
      </c>
      <c r="C673" s="60" t="s">
        <v>48</v>
      </c>
      <c r="D673" s="61">
        <v>2</v>
      </c>
      <c r="E673" s="62">
        <v>313.61</v>
      </c>
      <c r="F673" s="62">
        <f>313.61*$G$7</f>
        <v>313.61</v>
      </c>
      <c r="G673" s="62">
        <f t="shared" si="39"/>
        <v>627.22</v>
      </c>
    </row>
    <row r="674" spans="1:7" ht="15" customHeight="1" x14ac:dyDescent="0.25">
      <c r="A674" s="59" t="s">
        <v>1325</v>
      </c>
      <c r="B674" s="59" t="s">
        <v>1326</v>
      </c>
      <c r="C674" s="60" t="s">
        <v>62</v>
      </c>
      <c r="D674" s="61">
        <v>1</v>
      </c>
      <c r="E674" s="62">
        <v>598.41999999999996</v>
      </c>
      <c r="F674" s="62">
        <f>598.42*$G$7</f>
        <v>598.41999999999996</v>
      </c>
      <c r="G674" s="62">
        <f t="shared" si="39"/>
        <v>598.41999999999996</v>
      </c>
    </row>
    <row r="675" spans="1:7" s="70" customFormat="1" ht="15" customHeight="1" x14ac:dyDescent="0.25">
      <c r="A675" s="59" t="s">
        <v>1327</v>
      </c>
      <c r="B675" s="59" t="s">
        <v>1328</v>
      </c>
      <c r="C675" s="60" t="s">
        <v>62</v>
      </c>
      <c r="D675" s="61">
        <v>2</v>
      </c>
      <c r="E675" s="62">
        <v>125.68</v>
      </c>
      <c r="F675" s="62">
        <f>125.68*$G$7</f>
        <v>125.68</v>
      </c>
      <c r="G675" s="62">
        <f t="shared" si="39"/>
        <v>251.36</v>
      </c>
    </row>
    <row r="676" spans="1:7" s="70" customFormat="1" ht="15" customHeight="1" x14ac:dyDescent="0.25">
      <c r="A676" s="59" t="s">
        <v>1329</v>
      </c>
      <c r="B676" s="59" t="s">
        <v>1330</v>
      </c>
      <c r="C676" s="60" t="s">
        <v>48</v>
      </c>
      <c r="D676" s="61">
        <v>6</v>
      </c>
      <c r="E676" s="62">
        <v>107.16</v>
      </c>
      <c r="F676" s="62">
        <f>107.16*$G$7</f>
        <v>107.16</v>
      </c>
      <c r="G676" s="62">
        <f t="shared" si="39"/>
        <v>642.96</v>
      </c>
    </row>
    <row r="677" spans="1:7" ht="24.95" customHeight="1" x14ac:dyDescent="0.25">
      <c r="A677" s="59" t="s">
        <v>1331</v>
      </c>
      <c r="B677" s="59" t="s">
        <v>1332</v>
      </c>
      <c r="C677" s="60" t="s">
        <v>48</v>
      </c>
      <c r="D677" s="61">
        <v>2</v>
      </c>
      <c r="E677" s="62">
        <v>110.05</v>
      </c>
      <c r="F677" s="62">
        <f>110.05*$G$7</f>
        <v>110.05</v>
      </c>
      <c r="G677" s="62">
        <f t="shared" si="39"/>
        <v>220.1</v>
      </c>
    </row>
    <row r="678" spans="1:7" s="70" customFormat="1" ht="24.95" customHeight="1" x14ac:dyDescent="0.25">
      <c r="A678" s="59" t="s">
        <v>1333</v>
      </c>
      <c r="B678" s="59" t="s">
        <v>1334</v>
      </c>
      <c r="C678" s="60" t="s">
        <v>232</v>
      </c>
      <c r="D678" s="61">
        <v>10.3</v>
      </c>
      <c r="E678" s="62">
        <v>87.31</v>
      </c>
      <c r="F678" s="62">
        <f>87.31*$G$7</f>
        <v>87.31</v>
      </c>
      <c r="G678" s="62">
        <f t="shared" si="39"/>
        <v>899.29300000000012</v>
      </c>
    </row>
    <row r="679" spans="1:7" s="70" customFormat="1" ht="35.1" customHeight="1" x14ac:dyDescent="0.25">
      <c r="A679" s="59" t="s">
        <v>1335</v>
      </c>
      <c r="B679" s="59" t="s">
        <v>1336</v>
      </c>
      <c r="C679" s="60" t="s">
        <v>232</v>
      </c>
      <c r="D679" s="61">
        <v>11.66</v>
      </c>
      <c r="E679" s="62">
        <v>105.23</v>
      </c>
      <c r="F679" s="62">
        <f>105.23*$G$7</f>
        <v>105.23</v>
      </c>
      <c r="G679" s="62">
        <f t="shared" si="39"/>
        <v>1226.9818</v>
      </c>
    </row>
    <row r="680" spans="1:7" s="70" customFormat="1" ht="24.95" customHeight="1" x14ac:dyDescent="0.25">
      <c r="A680" s="59" t="s">
        <v>1337</v>
      </c>
      <c r="B680" s="59" t="s">
        <v>1338</v>
      </c>
      <c r="C680" s="60" t="s">
        <v>62</v>
      </c>
      <c r="D680" s="61">
        <v>2</v>
      </c>
      <c r="E680" s="62">
        <v>287.52999999999997</v>
      </c>
      <c r="F680" s="62">
        <f>287.53*$G$7</f>
        <v>287.52999999999997</v>
      </c>
      <c r="G680" s="62">
        <f t="shared" si="39"/>
        <v>575.05999999999995</v>
      </c>
    </row>
    <row r="681" spans="1:7" s="70" customFormat="1" ht="35.1" customHeight="1" x14ac:dyDescent="0.25">
      <c r="A681" s="59" t="s">
        <v>1339</v>
      </c>
      <c r="B681" s="59" t="s">
        <v>1340</v>
      </c>
      <c r="C681" s="60" t="s">
        <v>48</v>
      </c>
      <c r="D681" s="61">
        <v>4</v>
      </c>
      <c r="E681" s="62">
        <v>137.78</v>
      </c>
      <c r="F681" s="62">
        <f>137.78*$G$7</f>
        <v>137.78</v>
      </c>
      <c r="G681" s="62">
        <f t="shared" si="39"/>
        <v>551.12</v>
      </c>
    </row>
    <row r="682" spans="1:7" s="70" customFormat="1" ht="35.1" customHeight="1" x14ac:dyDescent="0.25">
      <c r="A682" s="59" t="s">
        <v>1341</v>
      </c>
      <c r="B682" s="59" t="s">
        <v>1342</v>
      </c>
      <c r="C682" s="60" t="s">
        <v>48</v>
      </c>
      <c r="D682" s="61">
        <v>2</v>
      </c>
      <c r="E682" s="62">
        <v>182.63</v>
      </c>
      <c r="F682" s="62">
        <f>182.63*$G$7</f>
        <v>182.63</v>
      </c>
      <c r="G682" s="62">
        <f t="shared" si="39"/>
        <v>365.26</v>
      </c>
    </row>
    <row r="683" spans="1:7" s="70" customFormat="1" ht="35.1" customHeight="1" x14ac:dyDescent="0.25">
      <c r="A683" s="59" t="s">
        <v>1343</v>
      </c>
      <c r="B683" s="59" t="s">
        <v>1344</v>
      </c>
      <c r="C683" s="60" t="s">
        <v>48</v>
      </c>
      <c r="D683" s="61">
        <v>17</v>
      </c>
      <c r="E683" s="62">
        <v>108.54</v>
      </c>
      <c r="F683" s="62">
        <f>108.54*$G$7</f>
        <v>108.54</v>
      </c>
      <c r="G683" s="62">
        <f t="shared" si="39"/>
        <v>1845.18</v>
      </c>
    </row>
    <row r="684" spans="1:7" s="70" customFormat="1" ht="24.95" customHeight="1" x14ac:dyDescent="0.25">
      <c r="A684" s="59" t="s">
        <v>1345</v>
      </c>
      <c r="B684" s="59" t="s">
        <v>1346</v>
      </c>
      <c r="C684" s="60" t="s">
        <v>48</v>
      </c>
      <c r="D684" s="61">
        <v>5</v>
      </c>
      <c r="E684" s="62">
        <v>147.74</v>
      </c>
      <c r="F684" s="62">
        <f>147.74*$G$7</f>
        <v>147.74</v>
      </c>
      <c r="G684" s="62">
        <f t="shared" si="39"/>
        <v>738.7</v>
      </c>
    </row>
    <row r="685" spans="1:7" s="70" customFormat="1" ht="20.100000000000001" customHeight="1" x14ac:dyDescent="0.25">
      <c r="A685" s="59" t="s">
        <v>1347</v>
      </c>
      <c r="B685" s="59" t="s">
        <v>1348</v>
      </c>
      <c r="C685" s="60" t="s">
        <v>48</v>
      </c>
      <c r="D685" s="61">
        <v>1</v>
      </c>
      <c r="E685" s="62">
        <v>5898.89</v>
      </c>
      <c r="F685" s="62">
        <f>5898.89*$G$7</f>
        <v>5898.89</v>
      </c>
      <c r="G685" s="62">
        <f t="shared" si="39"/>
        <v>5898.89</v>
      </c>
    </row>
    <row r="686" spans="1:7" s="70" customFormat="1" ht="24.95" customHeight="1" x14ac:dyDescent="0.25">
      <c r="A686" s="59" t="s">
        <v>1349</v>
      </c>
      <c r="B686" s="59" t="s">
        <v>1350</v>
      </c>
      <c r="C686" s="60" t="s">
        <v>48</v>
      </c>
      <c r="D686" s="61">
        <v>4</v>
      </c>
      <c r="E686" s="62">
        <v>326.18</v>
      </c>
      <c r="F686" s="62">
        <f>326.18*$G$7</f>
        <v>326.18</v>
      </c>
      <c r="G686" s="62">
        <f t="shared" si="39"/>
        <v>1304.72</v>
      </c>
    </row>
    <row r="687" spans="1:7" s="70" customFormat="1" ht="24.95" customHeight="1" x14ac:dyDescent="0.25">
      <c r="A687" s="59" t="s">
        <v>1351</v>
      </c>
      <c r="B687" s="59" t="s">
        <v>1352</v>
      </c>
      <c r="C687" s="60" t="s">
        <v>48</v>
      </c>
      <c r="D687" s="61">
        <v>2</v>
      </c>
      <c r="E687" s="62">
        <v>185.21</v>
      </c>
      <c r="F687" s="62">
        <f>185.21*$G$7</f>
        <v>185.21</v>
      </c>
      <c r="G687" s="62">
        <f t="shared" si="39"/>
        <v>370.42</v>
      </c>
    </row>
    <row r="688" spans="1:7" s="70" customFormat="1" ht="24.95" customHeight="1" x14ac:dyDescent="0.25">
      <c r="A688" s="59" t="s">
        <v>1353</v>
      </c>
      <c r="B688" s="59" t="s">
        <v>1354</v>
      </c>
      <c r="C688" s="60" t="s">
        <v>48</v>
      </c>
      <c r="D688" s="61">
        <v>1</v>
      </c>
      <c r="E688" s="62">
        <v>29.65</v>
      </c>
      <c r="F688" s="62">
        <f>29.65*$G$7</f>
        <v>29.65</v>
      </c>
      <c r="G688" s="62">
        <f t="shared" si="39"/>
        <v>29.65</v>
      </c>
    </row>
    <row r="689" spans="1:7" s="70" customFormat="1" ht="24.95" customHeight="1" x14ac:dyDescent="0.25">
      <c r="A689" s="59" t="s">
        <v>1355</v>
      </c>
      <c r="B689" s="59" t="s">
        <v>1356</v>
      </c>
      <c r="C689" s="60" t="s">
        <v>48</v>
      </c>
      <c r="D689" s="61">
        <v>1</v>
      </c>
      <c r="E689" s="62">
        <v>2074.4699999999998</v>
      </c>
      <c r="F689" s="62">
        <f>2074.47*$G$7</f>
        <v>2074.4699999999998</v>
      </c>
      <c r="G689" s="62">
        <f t="shared" si="39"/>
        <v>2074.4699999999998</v>
      </c>
    </row>
    <row r="690" spans="1:7" ht="15" customHeight="1" x14ac:dyDescent="0.25">
      <c r="A690" s="55" t="s">
        <v>1357</v>
      </c>
      <c r="B690" s="55" t="s">
        <v>1358</v>
      </c>
      <c r="C690" s="55"/>
      <c r="D690" s="56"/>
      <c r="E690" s="57"/>
      <c r="F690" s="57"/>
      <c r="G690" s="57">
        <f>SUM(G691:G696)</f>
        <v>11561.47</v>
      </c>
    </row>
    <row r="691" spans="1:7" ht="20.100000000000001" customHeight="1" x14ac:dyDescent="0.25">
      <c r="A691" s="59" t="s">
        <v>1359</v>
      </c>
      <c r="B691" s="59" t="s">
        <v>1360</v>
      </c>
      <c r="C691" s="60" t="s">
        <v>62</v>
      </c>
      <c r="D691" s="61">
        <v>40</v>
      </c>
      <c r="E691" s="62">
        <v>234.83</v>
      </c>
      <c r="F691" s="62">
        <f>234.83*$G$7</f>
        <v>234.83</v>
      </c>
      <c r="G691" s="62">
        <f t="shared" ref="G691:G696" si="40">F691*D691</f>
        <v>9393.2000000000007</v>
      </c>
    </row>
    <row r="692" spans="1:7" s="70" customFormat="1" ht="20.100000000000001" customHeight="1" x14ac:dyDescent="0.25">
      <c r="A692" s="59" t="s">
        <v>1361</v>
      </c>
      <c r="B692" s="59" t="s">
        <v>1362</v>
      </c>
      <c r="C692" s="60" t="s">
        <v>62</v>
      </c>
      <c r="D692" s="61">
        <v>2</v>
      </c>
      <c r="E692" s="62">
        <v>136.88</v>
      </c>
      <c r="F692" s="62">
        <f>136.88*$G$7</f>
        <v>136.88</v>
      </c>
      <c r="G692" s="62">
        <f t="shared" si="40"/>
        <v>273.76</v>
      </c>
    </row>
    <row r="693" spans="1:7" s="70" customFormat="1" ht="20.100000000000001" customHeight="1" x14ac:dyDescent="0.25">
      <c r="A693" s="59" t="s">
        <v>1363</v>
      </c>
      <c r="B693" s="59" t="s">
        <v>1364</v>
      </c>
      <c r="C693" s="60" t="s">
        <v>48</v>
      </c>
      <c r="D693" s="61">
        <v>2</v>
      </c>
      <c r="E693" s="62">
        <v>159.61000000000001</v>
      </c>
      <c r="F693" s="62">
        <f>159.61*$G$7</f>
        <v>159.61000000000001</v>
      </c>
      <c r="G693" s="62">
        <f t="shared" si="40"/>
        <v>319.22000000000003</v>
      </c>
    </row>
    <row r="694" spans="1:7" s="70" customFormat="1" ht="24.95" customHeight="1" x14ac:dyDescent="0.25">
      <c r="A694" s="59" t="s">
        <v>1365</v>
      </c>
      <c r="B694" s="59" t="s">
        <v>1366</v>
      </c>
      <c r="C694" s="60" t="s">
        <v>62</v>
      </c>
      <c r="D694" s="61">
        <v>3</v>
      </c>
      <c r="E694" s="62">
        <v>234.83</v>
      </c>
      <c r="F694" s="62">
        <f>234.83*$G$7</f>
        <v>234.83</v>
      </c>
      <c r="G694" s="62">
        <f t="shared" si="40"/>
        <v>704.49</v>
      </c>
    </row>
    <row r="695" spans="1:7" s="70" customFormat="1" ht="24.95" customHeight="1" x14ac:dyDescent="0.25">
      <c r="A695" s="59" t="s">
        <v>1367</v>
      </c>
      <c r="B695" s="59" t="s">
        <v>1368</v>
      </c>
      <c r="C695" s="60" t="s">
        <v>62</v>
      </c>
      <c r="D695" s="61">
        <v>1</v>
      </c>
      <c r="E695" s="62">
        <v>733.47</v>
      </c>
      <c r="F695" s="62">
        <f>733.47*$G$7</f>
        <v>733.47</v>
      </c>
      <c r="G695" s="62">
        <f t="shared" si="40"/>
        <v>733.47</v>
      </c>
    </row>
    <row r="696" spans="1:7" s="70" customFormat="1" ht="20.100000000000001" customHeight="1" x14ac:dyDescent="0.25">
      <c r="A696" s="59" t="s">
        <v>1369</v>
      </c>
      <c r="B696" s="59" t="s">
        <v>1370</v>
      </c>
      <c r="C696" s="60" t="s">
        <v>62</v>
      </c>
      <c r="D696" s="61">
        <v>1</v>
      </c>
      <c r="E696" s="62">
        <v>137.33000000000001</v>
      </c>
      <c r="F696" s="62">
        <f>137.33*$G$7</f>
        <v>137.33000000000001</v>
      </c>
      <c r="G696" s="62">
        <f t="shared" si="40"/>
        <v>137.33000000000001</v>
      </c>
    </row>
    <row r="697" spans="1:7" ht="15" customHeight="1" x14ac:dyDescent="0.25">
      <c r="A697" s="55" t="s">
        <v>1371</v>
      </c>
      <c r="B697" s="55" t="s">
        <v>1372</v>
      </c>
      <c r="C697" s="55"/>
      <c r="D697" s="56"/>
      <c r="E697" s="57"/>
      <c r="F697" s="57"/>
      <c r="G697" s="57">
        <f>SUM(G698:G707)</f>
        <v>6082.5000000000009</v>
      </c>
    </row>
    <row r="698" spans="1:7" ht="24.95" customHeight="1" x14ac:dyDescent="0.25">
      <c r="A698" s="59" t="s">
        <v>1373</v>
      </c>
      <c r="B698" s="59" t="s">
        <v>948</v>
      </c>
      <c r="C698" s="60" t="s">
        <v>232</v>
      </c>
      <c r="D698" s="61">
        <v>197.3</v>
      </c>
      <c r="E698" s="62">
        <v>10.6</v>
      </c>
      <c r="F698" s="62">
        <f>10.6*$G$7</f>
        <v>10.6</v>
      </c>
      <c r="G698" s="62">
        <f t="shared" ref="G698:G707" si="41">D698*F698</f>
        <v>2091.38</v>
      </c>
    </row>
    <row r="699" spans="1:7" s="70" customFormat="1" ht="24.95" customHeight="1" x14ac:dyDescent="0.25">
      <c r="A699" s="59" t="s">
        <v>1374</v>
      </c>
      <c r="B699" s="59" t="s">
        <v>1375</v>
      </c>
      <c r="C699" s="60" t="s">
        <v>48</v>
      </c>
      <c r="D699" s="61">
        <v>10</v>
      </c>
      <c r="E699" s="62">
        <v>26.89</v>
      </c>
      <c r="F699" s="62">
        <f>26.89*$G$7</f>
        <v>26.89</v>
      </c>
      <c r="G699" s="62">
        <f t="shared" si="41"/>
        <v>268.89999999999998</v>
      </c>
    </row>
    <row r="700" spans="1:7" s="70" customFormat="1" ht="24.95" customHeight="1" x14ac:dyDescent="0.25">
      <c r="A700" s="59" t="s">
        <v>1376</v>
      </c>
      <c r="B700" s="59" t="s">
        <v>807</v>
      </c>
      <c r="C700" s="60" t="s">
        <v>48</v>
      </c>
      <c r="D700" s="61">
        <v>4</v>
      </c>
      <c r="E700" s="62">
        <v>31.06</v>
      </c>
      <c r="F700" s="62">
        <f>31.06*$G$7</f>
        <v>31.06</v>
      </c>
      <c r="G700" s="62">
        <f t="shared" si="41"/>
        <v>124.24</v>
      </c>
    </row>
    <row r="701" spans="1:7" s="70" customFormat="1" ht="24.95" customHeight="1" x14ac:dyDescent="0.25">
      <c r="A701" s="59" t="s">
        <v>1377</v>
      </c>
      <c r="B701" s="59" t="s">
        <v>1378</v>
      </c>
      <c r="C701" s="60" t="s">
        <v>48</v>
      </c>
      <c r="D701" s="61">
        <v>2</v>
      </c>
      <c r="E701" s="62">
        <v>16.64</v>
      </c>
      <c r="F701" s="62">
        <f>16.64*$G$7</f>
        <v>16.64</v>
      </c>
      <c r="G701" s="62">
        <f t="shared" si="41"/>
        <v>33.28</v>
      </c>
    </row>
    <row r="702" spans="1:7" ht="20.100000000000001" customHeight="1" x14ac:dyDescent="0.25">
      <c r="A702" s="59" t="s">
        <v>1379</v>
      </c>
      <c r="B702" s="59" t="s">
        <v>791</v>
      </c>
      <c r="C702" s="60" t="s">
        <v>587</v>
      </c>
      <c r="D702" s="61">
        <v>197</v>
      </c>
      <c r="E702" s="62">
        <v>10.24</v>
      </c>
      <c r="F702" s="62">
        <f>10.24*$G$7</f>
        <v>10.24</v>
      </c>
      <c r="G702" s="62">
        <f t="shared" si="41"/>
        <v>2017.28</v>
      </c>
    </row>
    <row r="703" spans="1:7" s="70" customFormat="1" ht="20.100000000000001" customHeight="1" x14ac:dyDescent="0.25">
      <c r="A703" s="59" t="s">
        <v>1380</v>
      </c>
      <c r="B703" s="59" t="s">
        <v>1381</v>
      </c>
      <c r="C703" s="60" t="s">
        <v>48</v>
      </c>
      <c r="D703" s="61">
        <v>7</v>
      </c>
      <c r="E703" s="62">
        <v>9.1300000000000008</v>
      </c>
      <c r="F703" s="62">
        <f>9.13*$G$7</f>
        <v>9.1300000000000008</v>
      </c>
      <c r="G703" s="62">
        <f t="shared" si="41"/>
        <v>63.910000000000004</v>
      </c>
    </row>
    <row r="704" spans="1:7" s="70" customFormat="1" ht="20.100000000000001" customHeight="1" x14ac:dyDescent="0.25">
      <c r="A704" s="59" t="s">
        <v>1382</v>
      </c>
      <c r="B704" s="59" t="s">
        <v>1383</v>
      </c>
      <c r="C704" s="60" t="s">
        <v>587</v>
      </c>
      <c r="D704" s="61">
        <v>40</v>
      </c>
      <c r="E704" s="62">
        <v>25.14</v>
      </c>
      <c r="F704" s="62">
        <f>25.14*$G$7</f>
        <v>25.14</v>
      </c>
      <c r="G704" s="62">
        <f t="shared" si="41"/>
        <v>1005.6</v>
      </c>
    </row>
    <row r="705" spans="1:7" ht="24.95" customHeight="1" x14ac:dyDescent="0.25">
      <c r="A705" s="59" t="s">
        <v>1384</v>
      </c>
      <c r="B705" s="59" t="s">
        <v>879</v>
      </c>
      <c r="C705" s="60" t="s">
        <v>48</v>
      </c>
      <c r="D705" s="61">
        <v>2</v>
      </c>
      <c r="E705" s="62">
        <v>26.86</v>
      </c>
      <c r="F705" s="62">
        <f>26.86*$G$7</f>
        <v>26.86</v>
      </c>
      <c r="G705" s="62">
        <f t="shared" si="41"/>
        <v>53.72</v>
      </c>
    </row>
    <row r="706" spans="1:7" s="70" customFormat="1" ht="24.95" customHeight="1" x14ac:dyDescent="0.25">
      <c r="A706" s="59" t="s">
        <v>1385</v>
      </c>
      <c r="B706" s="59" t="s">
        <v>1386</v>
      </c>
      <c r="C706" s="60" t="s">
        <v>587</v>
      </c>
      <c r="D706" s="61">
        <v>31</v>
      </c>
      <c r="E706" s="62">
        <v>12.07</v>
      </c>
      <c r="F706" s="62">
        <f>12.07*$G$7</f>
        <v>12.07</v>
      </c>
      <c r="G706" s="62">
        <f t="shared" si="41"/>
        <v>374.17</v>
      </c>
    </row>
    <row r="707" spans="1:7" s="70" customFormat="1" ht="24.95" customHeight="1" x14ac:dyDescent="0.25">
      <c r="A707" s="59" t="s">
        <v>1387</v>
      </c>
      <c r="B707" s="59" t="s">
        <v>1181</v>
      </c>
      <c r="C707" s="60" t="s">
        <v>48</v>
      </c>
      <c r="D707" s="61">
        <v>2</v>
      </c>
      <c r="E707" s="62">
        <v>25.01</v>
      </c>
      <c r="F707" s="62">
        <f>25.01*$G$7</f>
        <v>25.01</v>
      </c>
      <c r="G707" s="62">
        <f t="shared" si="41"/>
        <v>50.02</v>
      </c>
    </row>
    <row r="708" spans="1:7" ht="15" customHeight="1" x14ac:dyDescent="0.25">
      <c r="A708" s="55" t="s">
        <v>1388</v>
      </c>
      <c r="B708" s="55" t="s">
        <v>566</v>
      </c>
      <c r="C708" s="55"/>
      <c r="D708" s="56"/>
      <c r="E708" s="57"/>
      <c r="F708" s="57"/>
      <c r="G708" s="57">
        <f>SUM(G709)</f>
        <v>2352.5271000000002</v>
      </c>
    </row>
    <row r="709" spans="1:7" ht="20.100000000000001" customHeight="1" x14ac:dyDescent="0.25">
      <c r="A709" s="59" t="s">
        <v>1389</v>
      </c>
      <c r="B709" s="59" t="s">
        <v>1390</v>
      </c>
      <c r="C709" s="60" t="s">
        <v>235</v>
      </c>
      <c r="D709" s="61">
        <v>257.67</v>
      </c>
      <c r="E709" s="62">
        <v>9.1300000000000008</v>
      </c>
      <c r="F709" s="62">
        <f>9.13*$G$7</f>
        <v>9.1300000000000008</v>
      </c>
      <c r="G709" s="62">
        <f>D709*F709</f>
        <v>2352.5271000000002</v>
      </c>
    </row>
    <row r="710" spans="1:7" ht="15" customHeight="1" x14ac:dyDescent="0.25">
      <c r="A710" s="55" t="s">
        <v>1391</v>
      </c>
      <c r="B710" s="55" t="s">
        <v>1392</v>
      </c>
      <c r="C710" s="55"/>
      <c r="D710" s="56"/>
      <c r="E710" s="57"/>
      <c r="F710" s="57"/>
      <c r="G710" s="57">
        <f>SUM(G711:G714)</f>
        <v>3131.11</v>
      </c>
    </row>
    <row r="711" spans="1:7" ht="20.100000000000001" customHeight="1" x14ac:dyDescent="0.25">
      <c r="A711" s="59" t="s">
        <v>1393</v>
      </c>
      <c r="B711" s="59" t="s">
        <v>1394</v>
      </c>
      <c r="C711" s="60" t="s">
        <v>48</v>
      </c>
      <c r="D711" s="61">
        <v>16</v>
      </c>
      <c r="E711" s="62">
        <v>12.51</v>
      </c>
      <c r="F711" s="62">
        <f>12.51*$G$7</f>
        <v>12.51</v>
      </c>
      <c r="G711" s="62">
        <f>D711*F711</f>
        <v>200.16</v>
      </c>
    </row>
    <row r="712" spans="1:7" s="70" customFormat="1" ht="30" customHeight="1" x14ac:dyDescent="0.25">
      <c r="A712" s="59" t="s">
        <v>1395</v>
      </c>
      <c r="B712" s="59" t="s">
        <v>1396</v>
      </c>
      <c r="C712" s="60" t="s">
        <v>62</v>
      </c>
      <c r="D712" s="61">
        <v>7</v>
      </c>
      <c r="E712" s="62">
        <v>163.99</v>
      </c>
      <c r="F712" s="62">
        <f>163.99*$G$7</f>
        <v>163.99</v>
      </c>
      <c r="G712" s="62">
        <f>D712*F712</f>
        <v>1147.93</v>
      </c>
    </row>
    <row r="713" spans="1:7" s="70" customFormat="1" ht="20.100000000000001" customHeight="1" x14ac:dyDescent="0.25">
      <c r="A713" s="59" t="s">
        <v>1397</v>
      </c>
      <c r="B713" s="59" t="s">
        <v>1398</v>
      </c>
      <c r="C713" s="60" t="s">
        <v>53</v>
      </c>
      <c r="D713" s="61">
        <v>9</v>
      </c>
      <c r="E713" s="62">
        <v>24.37</v>
      </c>
      <c r="F713" s="62">
        <f>24.37*$G$7</f>
        <v>24.37</v>
      </c>
      <c r="G713" s="62">
        <f>D713*F713</f>
        <v>219.33</v>
      </c>
    </row>
    <row r="714" spans="1:7" s="70" customFormat="1" ht="24.95" customHeight="1" x14ac:dyDescent="0.25">
      <c r="A714" s="59" t="s">
        <v>1399</v>
      </c>
      <c r="B714" s="59" t="s">
        <v>1400</v>
      </c>
      <c r="C714" s="60" t="s">
        <v>48</v>
      </c>
      <c r="D714" s="61">
        <v>47</v>
      </c>
      <c r="E714" s="62">
        <v>33.270000000000003</v>
      </c>
      <c r="F714" s="62">
        <f>33.27*$G$7</f>
        <v>33.270000000000003</v>
      </c>
      <c r="G714" s="62">
        <f>D714*F714</f>
        <v>1563.69</v>
      </c>
    </row>
    <row r="715" spans="1:7" ht="15" customHeight="1" x14ac:dyDescent="0.25">
      <c r="A715" s="55" t="s">
        <v>1401</v>
      </c>
      <c r="B715" s="55" t="s">
        <v>1402</v>
      </c>
      <c r="C715" s="55"/>
      <c r="D715" s="56"/>
      <c r="E715" s="57"/>
      <c r="F715" s="57"/>
      <c r="G715" s="57">
        <f>SUM(G716:G717)</f>
        <v>4172.8900000000003</v>
      </c>
    </row>
    <row r="716" spans="1:7" ht="20.100000000000001" customHeight="1" x14ac:dyDescent="0.25">
      <c r="A716" s="59" t="s">
        <v>1403</v>
      </c>
      <c r="B716" s="59" t="s">
        <v>1404</v>
      </c>
      <c r="C716" s="60" t="s">
        <v>48</v>
      </c>
      <c r="D716" s="61">
        <v>1</v>
      </c>
      <c r="E716" s="62">
        <v>673.24</v>
      </c>
      <c r="F716" s="62">
        <f>673.24*$G$7</f>
        <v>673.24</v>
      </c>
      <c r="G716" s="62">
        <f>D716*F716</f>
        <v>673.24</v>
      </c>
    </row>
    <row r="717" spans="1:7" s="70" customFormat="1" ht="20.100000000000001" customHeight="1" x14ac:dyDescent="0.25">
      <c r="A717" s="59" t="s">
        <v>1405</v>
      </c>
      <c r="B717" s="59" t="s">
        <v>1406</v>
      </c>
      <c r="C717" s="60" t="s">
        <v>48</v>
      </c>
      <c r="D717" s="61">
        <v>9</v>
      </c>
      <c r="E717" s="62">
        <v>388.85</v>
      </c>
      <c r="F717" s="62">
        <f>388.85*$G$7</f>
        <v>388.85</v>
      </c>
      <c r="G717" s="62">
        <f>D717*F717</f>
        <v>3499.65</v>
      </c>
    </row>
    <row r="718" spans="1:7" ht="15" customHeight="1" x14ac:dyDescent="0.25">
      <c r="A718" s="55" t="s">
        <v>1407</v>
      </c>
      <c r="B718" s="55" t="s">
        <v>1408</v>
      </c>
      <c r="C718" s="55"/>
      <c r="D718" s="56"/>
      <c r="E718" s="57"/>
      <c r="F718" s="57"/>
      <c r="G718" s="57">
        <f>G719+G729+G735+G742+G744</f>
        <v>35975.343099999998</v>
      </c>
    </row>
    <row r="719" spans="1:7" ht="15" customHeight="1" x14ac:dyDescent="0.25">
      <c r="A719" s="55" t="s">
        <v>1409</v>
      </c>
      <c r="B719" s="55" t="s">
        <v>1410</v>
      </c>
      <c r="C719" s="55"/>
      <c r="D719" s="56"/>
      <c r="E719" s="57"/>
      <c r="F719" s="57"/>
      <c r="G719" s="57">
        <f>SUM(G720:G728)</f>
        <v>13910.039999999997</v>
      </c>
    </row>
    <row r="720" spans="1:7" ht="35.1" customHeight="1" x14ac:dyDescent="0.25">
      <c r="A720" s="59" t="s">
        <v>1411</v>
      </c>
      <c r="B720" s="59" t="s">
        <v>1412</v>
      </c>
      <c r="C720" s="60" t="s">
        <v>48</v>
      </c>
      <c r="D720" s="61">
        <v>10</v>
      </c>
      <c r="E720" s="62">
        <v>435.21</v>
      </c>
      <c r="F720" s="62">
        <f>435.21*$G$7</f>
        <v>435.21</v>
      </c>
      <c r="G720" s="62">
        <f t="shared" ref="G720:G728" si="42">D720*F720</f>
        <v>4352.0999999999995</v>
      </c>
    </row>
    <row r="721" spans="1:7" s="70" customFormat="1" ht="35.1" customHeight="1" x14ac:dyDescent="0.25">
      <c r="A721" s="59" t="s">
        <v>1413</v>
      </c>
      <c r="B721" s="59" t="s">
        <v>1414</v>
      </c>
      <c r="C721" s="60" t="s">
        <v>48</v>
      </c>
      <c r="D721" s="61">
        <v>4</v>
      </c>
      <c r="E721" s="62">
        <v>738.16</v>
      </c>
      <c r="F721" s="62">
        <f>738.16*$G$7</f>
        <v>738.16</v>
      </c>
      <c r="G721" s="62">
        <f t="shared" si="42"/>
        <v>2952.64</v>
      </c>
    </row>
    <row r="722" spans="1:7" ht="35.1" customHeight="1" x14ac:dyDescent="0.25">
      <c r="A722" s="59" t="s">
        <v>1415</v>
      </c>
      <c r="B722" s="59" t="s">
        <v>1416</v>
      </c>
      <c r="C722" s="60" t="s">
        <v>48</v>
      </c>
      <c r="D722" s="61">
        <v>2</v>
      </c>
      <c r="E722" s="62">
        <v>569.21</v>
      </c>
      <c r="F722" s="62">
        <f>569.21*$G$7</f>
        <v>569.21</v>
      </c>
      <c r="G722" s="62">
        <f t="shared" si="42"/>
        <v>1138.42</v>
      </c>
    </row>
    <row r="723" spans="1:7" s="70" customFormat="1" ht="35.1" customHeight="1" x14ac:dyDescent="0.25">
      <c r="A723" s="59" t="s">
        <v>1417</v>
      </c>
      <c r="B723" s="59" t="s">
        <v>1418</v>
      </c>
      <c r="C723" s="60" t="s">
        <v>62</v>
      </c>
      <c r="D723" s="61">
        <v>4</v>
      </c>
      <c r="E723" s="62">
        <v>412.03</v>
      </c>
      <c r="F723" s="62">
        <f>412.03*$G$7</f>
        <v>412.03</v>
      </c>
      <c r="G723" s="62">
        <f t="shared" si="42"/>
        <v>1648.12</v>
      </c>
    </row>
    <row r="724" spans="1:7" s="70" customFormat="1" ht="35.1" customHeight="1" x14ac:dyDescent="0.25">
      <c r="A724" s="59" t="s">
        <v>1419</v>
      </c>
      <c r="B724" s="59" t="s">
        <v>1420</v>
      </c>
      <c r="C724" s="60" t="s">
        <v>62</v>
      </c>
      <c r="D724" s="61">
        <v>4</v>
      </c>
      <c r="E724" s="62">
        <v>385.88</v>
      </c>
      <c r="F724" s="62">
        <f>385.88*$G$7</f>
        <v>385.88</v>
      </c>
      <c r="G724" s="62">
        <f t="shared" si="42"/>
        <v>1543.52</v>
      </c>
    </row>
    <row r="725" spans="1:7" s="70" customFormat="1" ht="35.1" customHeight="1" x14ac:dyDescent="0.25">
      <c r="A725" s="59" t="s">
        <v>1421</v>
      </c>
      <c r="B725" s="59" t="s">
        <v>1422</v>
      </c>
      <c r="C725" s="60" t="s">
        <v>62</v>
      </c>
      <c r="D725" s="61">
        <v>6</v>
      </c>
      <c r="E725" s="62">
        <v>192.91</v>
      </c>
      <c r="F725" s="62">
        <f>192.91*$G$7</f>
        <v>192.91</v>
      </c>
      <c r="G725" s="62">
        <f t="shared" si="42"/>
        <v>1157.46</v>
      </c>
    </row>
    <row r="726" spans="1:7" s="70" customFormat="1" ht="50.1" customHeight="1" x14ac:dyDescent="0.25">
      <c r="A726" s="59" t="s">
        <v>1423</v>
      </c>
      <c r="B726" s="59" t="s">
        <v>1424</v>
      </c>
      <c r="C726" s="60" t="s">
        <v>48</v>
      </c>
      <c r="D726" s="61">
        <v>1</v>
      </c>
      <c r="E726" s="62">
        <v>211.59</v>
      </c>
      <c r="F726" s="62">
        <f>211.59*$G$7</f>
        <v>211.59</v>
      </c>
      <c r="G726" s="62">
        <f t="shared" si="42"/>
        <v>211.59</v>
      </c>
    </row>
    <row r="727" spans="1:7" s="70" customFormat="1" ht="35.1" customHeight="1" x14ac:dyDescent="0.25">
      <c r="A727" s="59" t="s">
        <v>1425</v>
      </c>
      <c r="B727" s="59" t="s">
        <v>1426</v>
      </c>
      <c r="C727" s="60" t="s">
        <v>48</v>
      </c>
      <c r="D727" s="61">
        <v>2</v>
      </c>
      <c r="E727" s="62">
        <v>198.61</v>
      </c>
      <c r="F727" s="62">
        <f>198.61*$G$7</f>
        <v>198.61</v>
      </c>
      <c r="G727" s="62">
        <f t="shared" si="42"/>
        <v>397.22</v>
      </c>
    </row>
    <row r="728" spans="1:7" s="70" customFormat="1" ht="35.1" customHeight="1" x14ac:dyDescent="0.25">
      <c r="A728" s="59" t="s">
        <v>1427</v>
      </c>
      <c r="B728" s="59" t="s">
        <v>1428</v>
      </c>
      <c r="C728" s="60" t="s">
        <v>48</v>
      </c>
      <c r="D728" s="61">
        <v>1</v>
      </c>
      <c r="E728" s="62">
        <v>508.97</v>
      </c>
      <c r="F728" s="62">
        <f>508.97*$G$7</f>
        <v>508.97</v>
      </c>
      <c r="G728" s="62">
        <f t="shared" si="42"/>
        <v>508.97</v>
      </c>
    </row>
    <row r="729" spans="1:7" ht="15" customHeight="1" x14ac:dyDescent="0.25">
      <c r="A729" s="55" t="s">
        <v>1429</v>
      </c>
      <c r="B729" s="55" t="s">
        <v>1430</v>
      </c>
      <c r="C729" s="55"/>
      <c r="D729" s="56"/>
      <c r="E729" s="57"/>
      <c r="F729" s="57"/>
      <c r="G729" s="57">
        <f>SUM(G730:G734)</f>
        <v>7652.16</v>
      </c>
    </row>
    <row r="730" spans="1:7" ht="20.100000000000001" customHeight="1" x14ac:dyDescent="0.25">
      <c r="A730" s="59" t="s">
        <v>1431</v>
      </c>
      <c r="B730" s="59" t="s">
        <v>1432</v>
      </c>
      <c r="C730" s="60" t="s">
        <v>62</v>
      </c>
      <c r="D730" s="61">
        <v>14</v>
      </c>
      <c r="E730" s="62">
        <v>257.49</v>
      </c>
      <c r="F730" s="62">
        <f>257.49*$G$7</f>
        <v>257.49</v>
      </c>
      <c r="G730" s="62">
        <f>D730*F730</f>
        <v>3604.86</v>
      </c>
    </row>
    <row r="731" spans="1:7" s="70" customFormat="1" ht="20.100000000000001" customHeight="1" x14ac:dyDescent="0.25">
      <c r="A731" s="59" t="s">
        <v>1433</v>
      </c>
      <c r="B731" s="59" t="s">
        <v>1434</v>
      </c>
      <c r="C731" s="60" t="s">
        <v>62</v>
      </c>
      <c r="D731" s="61">
        <v>12</v>
      </c>
      <c r="E731" s="62">
        <v>114.56</v>
      </c>
      <c r="F731" s="62">
        <f>114.56*$G$7</f>
        <v>114.56</v>
      </c>
      <c r="G731" s="62">
        <f>D731*F731</f>
        <v>1374.72</v>
      </c>
    </row>
    <row r="732" spans="1:7" s="70" customFormat="1" ht="24.95" customHeight="1" x14ac:dyDescent="0.25">
      <c r="A732" s="59" t="s">
        <v>1435</v>
      </c>
      <c r="B732" s="59" t="s">
        <v>1436</v>
      </c>
      <c r="C732" s="60" t="s">
        <v>48</v>
      </c>
      <c r="D732" s="61">
        <v>14</v>
      </c>
      <c r="E732" s="62">
        <v>129.69</v>
      </c>
      <c r="F732" s="62">
        <f>129.69*$G$7</f>
        <v>129.69</v>
      </c>
      <c r="G732" s="62">
        <f>D732*F732</f>
        <v>1815.6599999999999</v>
      </c>
    </row>
    <row r="733" spans="1:7" s="70" customFormat="1" ht="24.95" customHeight="1" x14ac:dyDescent="0.25">
      <c r="A733" s="59" t="s">
        <v>1437</v>
      </c>
      <c r="B733" s="59" t="s">
        <v>1438</v>
      </c>
      <c r="C733" s="60" t="s">
        <v>62</v>
      </c>
      <c r="D733" s="61">
        <v>8</v>
      </c>
      <c r="E733" s="62">
        <v>87.52</v>
      </c>
      <c r="F733" s="62">
        <f>87.52*$G$7</f>
        <v>87.52</v>
      </c>
      <c r="G733" s="62">
        <f>D733*F733</f>
        <v>700.16</v>
      </c>
    </row>
    <row r="734" spans="1:7" s="70" customFormat="1" ht="24.95" customHeight="1" x14ac:dyDescent="0.25">
      <c r="A734" s="59" t="s">
        <v>1439</v>
      </c>
      <c r="B734" s="59" t="s">
        <v>1440</v>
      </c>
      <c r="C734" s="60" t="s">
        <v>48</v>
      </c>
      <c r="D734" s="61">
        <v>2</v>
      </c>
      <c r="E734" s="62">
        <v>78.38</v>
      </c>
      <c r="F734" s="62">
        <f>78.38*$G$7</f>
        <v>78.38</v>
      </c>
      <c r="G734" s="62">
        <f>D734*F734</f>
        <v>156.76</v>
      </c>
    </row>
    <row r="735" spans="1:7" ht="15" customHeight="1" x14ac:dyDescent="0.25">
      <c r="A735" s="55" t="s">
        <v>1441</v>
      </c>
      <c r="B735" s="55" t="s">
        <v>1442</v>
      </c>
      <c r="C735" s="55"/>
      <c r="D735" s="56"/>
      <c r="E735" s="57"/>
      <c r="F735" s="57"/>
      <c r="G735" s="57">
        <f>SUM(G736:G741)</f>
        <v>8250.89</v>
      </c>
    </row>
    <row r="736" spans="1:7" ht="24.95" customHeight="1" x14ac:dyDescent="0.25">
      <c r="A736" s="59" t="s">
        <v>1443</v>
      </c>
      <c r="B736" s="59" t="s">
        <v>1444</v>
      </c>
      <c r="C736" s="60" t="s">
        <v>62</v>
      </c>
      <c r="D736" s="61">
        <v>4</v>
      </c>
      <c r="E736" s="62">
        <v>809.58</v>
      </c>
      <c r="F736" s="62">
        <f>809.58*$G$7</f>
        <v>809.58</v>
      </c>
      <c r="G736" s="62">
        <f t="shared" ref="G736:G741" si="43">D736*F736</f>
        <v>3238.32</v>
      </c>
    </row>
    <row r="737" spans="1:10" s="70" customFormat="1" ht="24.95" customHeight="1" x14ac:dyDescent="0.25">
      <c r="A737" s="59" t="s">
        <v>1445</v>
      </c>
      <c r="B737" s="59" t="s">
        <v>1446</v>
      </c>
      <c r="C737" s="60" t="s">
        <v>48</v>
      </c>
      <c r="D737" s="61">
        <v>13</v>
      </c>
      <c r="E737" s="62">
        <v>70.45</v>
      </c>
      <c r="F737" s="62">
        <f>70.45*$G$7</f>
        <v>70.45</v>
      </c>
      <c r="G737" s="62">
        <f t="shared" si="43"/>
        <v>915.85</v>
      </c>
    </row>
    <row r="738" spans="1:10" s="70" customFormat="1" ht="20.100000000000001" customHeight="1" x14ac:dyDescent="0.25">
      <c r="A738" s="59" t="s">
        <v>1447</v>
      </c>
      <c r="B738" s="59" t="s">
        <v>1448</v>
      </c>
      <c r="C738" s="60" t="s">
        <v>62</v>
      </c>
      <c r="D738" s="61">
        <v>13</v>
      </c>
      <c r="E738" s="62">
        <v>67.36</v>
      </c>
      <c r="F738" s="62">
        <f>67.36*$G$7</f>
        <v>67.36</v>
      </c>
      <c r="G738" s="62">
        <f t="shared" si="43"/>
        <v>875.68</v>
      </c>
    </row>
    <row r="739" spans="1:10" s="70" customFormat="1" ht="20.100000000000001" customHeight="1" x14ac:dyDescent="0.25">
      <c r="A739" s="59" t="s">
        <v>1449</v>
      </c>
      <c r="B739" s="59" t="s">
        <v>1450</v>
      </c>
      <c r="C739" s="60" t="s">
        <v>62</v>
      </c>
      <c r="D739" s="61">
        <v>14</v>
      </c>
      <c r="E739" s="62">
        <v>20.63</v>
      </c>
      <c r="F739" s="62">
        <f>20.63*$G$7</f>
        <v>20.63</v>
      </c>
      <c r="G739" s="62">
        <f t="shared" si="43"/>
        <v>288.82</v>
      </c>
    </row>
    <row r="740" spans="1:10" s="70" customFormat="1" ht="20.100000000000001" customHeight="1" x14ac:dyDescent="0.25">
      <c r="A740" s="59" t="s">
        <v>1451</v>
      </c>
      <c r="B740" s="59" t="s">
        <v>1452</v>
      </c>
      <c r="C740" s="60" t="s">
        <v>62</v>
      </c>
      <c r="D740" s="61">
        <v>4</v>
      </c>
      <c r="E740" s="62">
        <v>569.42999999999995</v>
      </c>
      <c r="F740" s="62">
        <f>569.43*$G$7</f>
        <v>569.42999999999995</v>
      </c>
      <c r="G740" s="62">
        <f t="shared" si="43"/>
        <v>2277.7199999999998</v>
      </c>
    </row>
    <row r="741" spans="1:10" s="70" customFormat="1" ht="24.95" customHeight="1" x14ac:dyDescent="0.25">
      <c r="A741" s="59" t="s">
        <v>1453</v>
      </c>
      <c r="B741" s="59" t="s">
        <v>1454</v>
      </c>
      <c r="C741" s="60" t="s">
        <v>62</v>
      </c>
      <c r="D741" s="61">
        <v>14</v>
      </c>
      <c r="E741" s="62">
        <v>46.75</v>
      </c>
      <c r="F741" s="62">
        <f>46.75*$G$7</f>
        <v>46.75</v>
      </c>
      <c r="G741" s="62">
        <f t="shared" si="43"/>
        <v>654.5</v>
      </c>
    </row>
    <row r="742" spans="1:10" ht="15" customHeight="1" x14ac:dyDescent="0.25">
      <c r="A742" s="55" t="s">
        <v>1455</v>
      </c>
      <c r="B742" s="55" t="s">
        <v>1456</v>
      </c>
      <c r="C742" s="55"/>
      <c r="D742" s="56"/>
      <c r="E742" s="57"/>
      <c r="F742" s="57"/>
      <c r="G742" s="57">
        <f>SUM(G743)</f>
        <v>1465.7976000000001</v>
      </c>
    </row>
    <row r="743" spans="1:10" ht="24.95" customHeight="1" x14ac:dyDescent="0.25">
      <c r="A743" s="59" t="s">
        <v>1457</v>
      </c>
      <c r="B743" s="59" t="s">
        <v>1458</v>
      </c>
      <c r="C743" s="60" t="s">
        <v>53</v>
      </c>
      <c r="D743" s="61">
        <v>6.32</v>
      </c>
      <c r="E743" s="62">
        <v>231.93</v>
      </c>
      <c r="F743" s="62">
        <f>231.93*$G$7</f>
        <v>231.93</v>
      </c>
      <c r="G743" s="62">
        <f>D743*F743</f>
        <v>1465.7976000000001</v>
      </c>
    </row>
    <row r="744" spans="1:10" ht="15" customHeight="1" x14ac:dyDescent="0.25">
      <c r="A744" s="55" t="s">
        <v>1459</v>
      </c>
      <c r="B744" s="55" t="s">
        <v>1460</v>
      </c>
      <c r="C744" s="55"/>
      <c r="D744" s="56"/>
      <c r="E744" s="57"/>
      <c r="F744" s="57"/>
      <c r="G744" s="57">
        <f>SUM(G745:G746)</f>
        <v>4696.4555</v>
      </c>
    </row>
    <row r="745" spans="1:10" ht="20.100000000000001" customHeight="1" x14ac:dyDescent="0.25">
      <c r="A745" s="59" t="s">
        <v>1461</v>
      </c>
      <c r="B745" s="59" t="s">
        <v>1462</v>
      </c>
      <c r="C745" s="60" t="s">
        <v>53</v>
      </c>
      <c r="D745" s="61">
        <v>8.26</v>
      </c>
      <c r="E745" s="62">
        <v>267.95</v>
      </c>
      <c r="F745" s="62">
        <f>267.95*$G$7</f>
        <v>267.95</v>
      </c>
      <c r="G745" s="62">
        <f>D745*F745</f>
        <v>2213.2669999999998</v>
      </c>
    </row>
    <row r="746" spans="1:10" ht="24.95" customHeight="1" x14ac:dyDescent="0.25">
      <c r="A746" s="59" t="s">
        <v>1463</v>
      </c>
      <c r="B746" s="59" t="s">
        <v>1464</v>
      </c>
      <c r="C746" s="60" t="s">
        <v>53</v>
      </c>
      <c r="D746" s="61">
        <v>1.95</v>
      </c>
      <c r="E746" s="62">
        <v>1273.43</v>
      </c>
      <c r="F746" s="62">
        <f>1273.43*$G$7</f>
        <v>1273.43</v>
      </c>
      <c r="G746" s="62">
        <f>D746*F746</f>
        <v>2483.1885000000002</v>
      </c>
      <c r="J746" s="68"/>
    </row>
    <row r="747" spans="1:10" ht="15" customHeight="1" x14ac:dyDescent="0.25">
      <c r="A747" s="55" t="s">
        <v>1465</v>
      </c>
      <c r="B747" s="55" t="s">
        <v>1466</v>
      </c>
      <c r="C747" s="55"/>
      <c r="D747" s="56"/>
      <c r="E747" s="57"/>
      <c r="F747" s="57"/>
      <c r="G747" s="57">
        <f>SUM(G748:G764)</f>
        <v>31810.29</v>
      </c>
    </row>
    <row r="748" spans="1:10" ht="20.100000000000001" customHeight="1" x14ac:dyDescent="0.25">
      <c r="A748" s="59" t="s">
        <v>1467</v>
      </c>
      <c r="B748" s="59" t="s">
        <v>1468</v>
      </c>
      <c r="C748" s="60" t="s">
        <v>53</v>
      </c>
      <c r="D748" s="61">
        <v>126</v>
      </c>
      <c r="E748" s="62">
        <v>21.29</v>
      </c>
      <c r="F748" s="62">
        <f>21.29*$G$7</f>
        <v>21.29</v>
      </c>
      <c r="G748" s="62">
        <f t="shared" ref="G748:G764" si="44">D748*F748</f>
        <v>2682.54</v>
      </c>
    </row>
    <row r="749" spans="1:10" s="70" customFormat="1" ht="20.100000000000001" customHeight="1" x14ac:dyDescent="0.25">
      <c r="A749" s="59" t="s">
        <v>1469</v>
      </c>
      <c r="B749" s="59" t="s">
        <v>1470</v>
      </c>
      <c r="C749" s="60" t="s">
        <v>62</v>
      </c>
      <c r="D749" s="61">
        <v>4</v>
      </c>
      <c r="E749" s="62">
        <v>233.94</v>
      </c>
      <c r="F749" s="62">
        <f>233.94*$G$7</f>
        <v>233.94</v>
      </c>
      <c r="G749" s="62">
        <f t="shared" si="44"/>
        <v>935.76</v>
      </c>
    </row>
    <row r="750" spans="1:10" s="70" customFormat="1" ht="20.100000000000001" customHeight="1" x14ac:dyDescent="0.25">
      <c r="A750" s="59" t="s">
        <v>1471</v>
      </c>
      <c r="B750" s="59" t="s">
        <v>1472</v>
      </c>
      <c r="C750" s="60" t="s">
        <v>62</v>
      </c>
      <c r="D750" s="61">
        <v>3</v>
      </c>
      <c r="E750" s="62">
        <v>307.20999999999998</v>
      </c>
      <c r="F750" s="62">
        <f>307.21*$G$7</f>
        <v>307.20999999999998</v>
      </c>
      <c r="G750" s="62">
        <f t="shared" si="44"/>
        <v>921.62999999999988</v>
      </c>
    </row>
    <row r="751" spans="1:10" s="70" customFormat="1" ht="20.100000000000001" customHeight="1" x14ac:dyDescent="0.25">
      <c r="A751" s="59" t="s">
        <v>1473</v>
      </c>
      <c r="B751" s="59" t="s">
        <v>1474</v>
      </c>
      <c r="C751" s="60" t="s">
        <v>62</v>
      </c>
      <c r="D751" s="61">
        <v>1</v>
      </c>
      <c r="E751" s="62">
        <v>419.04</v>
      </c>
      <c r="F751" s="62">
        <f>419.04*$G$7</f>
        <v>419.04</v>
      </c>
      <c r="G751" s="62">
        <f t="shared" si="44"/>
        <v>419.04</v>
      </c>
    </row>
    <row r="752" spans="1:10" s="70" customFormat="1" ht="20.100000000000001" customHeight="1" x14ac:dyDescent="0.25">
      <c r="A752" s="59" t="s">
        <v>1475</v>
      </c>
      <c r="B752" s="59" t="s">
        <v>1476</v>
      </c>
      <c r="C752" s="60" t="s">
        <v>62</v>
      </c>
      <c r="D752" s="61">
        <v>2</v>
      </c>
      <c r="E752" s="62">
        <v>89.12</v>
      </c>
      <c r="F752" s="62">
        <f>89.12*$G$7</f>
        <v>89.12</v>
      </c>
      <c r="G752" s="62">
        <f t="shared" si="44"/>
        <v>178.24</v>
      </c>
    </row>
    <row r="753" spans="1:7" s="70" customFormat="1" ht="20.100000000000001" customHeight="1" x14ac:dyDescent="0.25">
      <c r="A753" s="59" t="s">
        <v>1477</v>
      </c>
      <c r="B753" s="59" t="s">
        <v>1478</v>
      </c>
      <c r="C753" s="60" t="s">
        <v>62</v>
      </c>
      <c r="D753" s="61">
        <v>11</v>
      </c>
      <c r="E753" s="62">
        <v>60.88</v>
      </c>
      <c r="F753" s="62">
        <f>60.88*$G$7</f>
        <v>60.88</v>
      </c>
      <c r="G753" s="62">
        <f t="shared" si="44"/>
        <v>669.68000000000006</v>
      </c>
    </row>
    <row r="754" spans="1:7" s="70" customFormat="1" ht="20.100000000000001" customHeight="1" x14ac:dyDescent="0.25">
      <c r="A754" s="59" t="s">
        <v>1479</v>
      </c>
      <c r="B754" s="59" t="s">
        <v>1480</v>
      </c>
      <c r="C754" s="60" t="s">
        <v>62</v>
      </c>
      <c r="D754" s="61">
        <v>21</v>
      </c>
      <c r="E754" s="62">
        <v>27.42</v>
      </c>
      <c r="F754" s="62">
        <f>27.42*$G$7</f>
        <v>27.42</v>
      </c>
      <c r="G754" s="62">
        <f t="shared" si="44"/>
        <v>575.82000000000005</v>
      </c>
    </row>
    <row r="755" spans="1:7" s="70" customFormat="1" ht="20.100000000000001" customHeight="1" x14ac:dyDescent="0.25">
      <c r="A755" s="59" t="s">
        <v>1481</v>
      </c>
      <c r="B755" s="59" t="s">
        <v>1482</v>
      </c>
      <c r="C755" s="60" t="s">
        <v>62</v>
      </c>
      <c r="D755" s="61">
        <v>52</v>
      </c>
      <c r="E755" s="62">
        <v>34.700000000000003</v>
      </c>
      <c r="F755" s="62">
        <f>34.7*$G$7</f>
        <v>34.700000000000003</v>
      </c>
      <c r="G755" s="62">
        <f t="shared" si="44"/>
        <v>1804.4</v>
      </c>
    </row>
    <row r="756" spans="1:7" s="70" customFormat="1" ht="20.100000000000001" customHeight="1" x14ac:dyDescent="0.25">
      <c r="A756" s="59" t="s">
        <v>1483</v>
      </c>
      <c r="B756" s="59" t="s">
        <v>1484</v>
      </c>
      <c r="C756" s="60" t="s">
        <v>62</v>
      </c>
      <c r="D756" s="61">
        <v>69</v>
      </c>
      <c r="E756" s="62">
        <v>10.79</v>
      </c>
      <c r="F756" s="62">
        <f>10.79*$G$7</f>
        <v>10.79</v>
      </c>
      <c r="G756" s="62">
        <f t="shared" si="44"/>
        <v>744.51</v>
      </c>
    </row>
    <row r="757" spans="1:7" s="70" customFormat="1" ht="20.100000000000001" customHeight="1" x14ac:dyDescent="0.25">
      <c r="A757" s="59" t="s">
        <v>1485</v>
      </c>
      <c r="B757" s="59" t="s">
        <v>1486</v>
      </c>
      <c r="C757" s="60" t="s">
        <v>48</v>
      </c>
      <c r="D757" s="61">
        <v>106</v>
      </c>
      <c r="E757" s="62">
        <v>76.5</v>
      </c>
      <c r="F757" s="62">
        <f>76.5*$G$7</f>
        <v>76.5</v>
      </c>
      <c r="G757" s="62">
        <f t="shared" si="44"/>
        <v>8109</v>
      </c>
    </row>
    <row r="758" spans="1:7" s="70" customFormat="1" ht="20.100000000000001" customHeight="1" x14ac:dyDescent="0.25">
      <c r="A758" s="59" t="s">
        <v>1487</v>
      </c>
      <c r="B758" s="59" t="s">
        <v>1488</v>
      </c>
      <c r="C758" s="60" t="s">
        <v>62</v>
      </c>
      <c r="D758" s="61">
        <v>59</v>
      </c>
      <c r="E758" s="62">
        <v>17.350000000000001</v>
      </c>
      <c r="F758" s="62">
        <f>17.35*$G$7</f>
        <v>17.350000000000001</v>
      </c>
      <c r="G758" s="62">
        <f t="shared" si="44"/>
        <v>1023.6500000000001</v>
      </c>
    </row>
    <row r="759" spans="1:7" s="70" customFormat="1" ht="20.100000000000001" customHeight="1" x14ac:dyDescent="0.25">
      <c r="A759" s="59" t="s">
        <v>1489</v>
      </c>
      <c r="B759" s="59" t="s">
        <v>1490</v>
      </c>
      <c r="C759" s="60" t="s">
        <v>62</v>
      </c>
      <c r="D759" s="61">
        <v>17</v>
      </c>
      <c r="E759" s="62">
        <v>12.19</v>
      </c>
      <c r="F759" s="62">
        <f>12.19*$G$7</f>
        <v>12.19</v>
      </c>
      <c r="G759" s="62">
        <f t="shared" si="44"/>
        <v>207.23</v>
      </c>
    </row>
    <row r="760" spans="1:7" s="70" customFormat="1" ht="20.100000000000001" customHeight="1" x14ac:dyDescent="0.25">
      <c r="A760" s="59" t="s">
        <v>1491</v>
      </c>
      <c r="B760" s="59" t="s">
        <v>1492</v>
      </c>
      <c r="C760" s="60" t="s">
        <v>62</v>
      </c>
      <c r="D760" s="61">
        <v>317</v>
      </c>
      <c r="E760" s="62">
        <v>18.39</v>
      </c>
      <c r="F760" s="62">
        <f>18.39*$G$7</f>
        <v>18.39</v>
      </c>
      <c r="G760" s="62">
        <f t="shared" si="44"/>
        <v>5829.63</v>
      </c>
    </row>
    <row r="761" spans="1:7" s="70" customFormat="1" ht="20.100000000000001" customHeight="1" x14ac:dyDescent="0.25">
      <c r="A761" s="59" t="s">
        <v>1493</v>
      </c>
      <c r="B761" s="59" t="s">
        <v>1494</v>
      </c>
      <c r="C761" s="60" t="s">
        <v>62</v>
      </c>
      <c r="D761" s="61">
        <v>93</v>
      </c>
      <c r="E761" s="62">
        <v>12.94</v>
      </c>
      <c r="F761" s="62">
        <f>12.94*$G$7</f>
        <v>12.94</v>
      </c>
      <c r="G761" s="62">
        <f t="shared" si="44"/>
        <v>1203.4199999999998</v>
      </c>
    </row>
    <row r="762" spans="1:7" s="70" customFormat="1" ht="20.100000000000001" customHeight="1" x14ac:dyDescent="0.25">
      <c r="A762" s="59" t="s">
        <v>1495</v>
      </c>
      <c r="B762" s="59" t="s">
        <v>1496</v>
      </c>
      <c r="C762" s="60" t="s">
        <v>53</v>
      </c>
      <c r="D762" s="61">
        <v>100</v>
      </c>
      <c r="E762" s="62">
        <v>38.54</v>
      </c>
      <c r="F762" s="62">
        <f>38.54*$G$7</f>
        <v>38.54</v>
      </c>
      <c r="G762" s="62">
        <f t="shared" si="44"/>
        <v>3854</v>
      </c>
    </row>
    <row r="763" spans="1:7" s="70" customFormat="1" ht="20.100000000000001" customHeight="1" x14ac:dyDescent="0.25">
      <c r="A763" s="59" t="s">
        <v>1497</v>
      </c>
      <c r="B763" s="59" t="s">
        <v>1498</v>
      </c>
      <c r="C763" s="60" t="s">
        <v>53</v>
      </c>
      <c r="D763" s="61">
        <v>27</v>
      </c>
      <c r="E763" s="62">
        <v>11.17</v>
      </c>
      <c r="F763" s="62">
        <f>11.17*$G$7</f>
        <v>11.17</v>
      </c>
      <c r="G763" s="62">
        <f t="shared" si="44"/>
        <v>301.58999999999997</v>
      </c>
    </row>
    <row r="764" spans="1:7" s="70" customFormat="1" ht="20.100000000000001" customHeight="1" x14ac:dyDescent="0.25">
      <c r="A764" s="59" t="s">
        <v>1499</v>
      </c>
      <c r="B764" s="59" t="s">
        <v>1500</v>
      </c>
      <c r="C764" s="60" t="s">
        <v>62</v>
      </c>
      <c r="D764" s="61">
        <v>5</v>
      </c>
      <c r="E764" s="62">
        <v>470.03</v>
      </c>
      <c r="F764" s="62">
        <f>470.03*$G$7</f>
        <v>470.03</v>
      </c>
      <c r="G764" s="62">
        <f t="shared" si="44"/>
        <v>2350.1499999999996</v>
      </c>
    </row>
    <row r="765" spans="1:7" ht="15" customHeight="1" x14ac:dyDescent="0.25">
      <c r="A765" s="55" t="s">
        <v>1501</v>
      </c>
      <c r="B765" s="55" t="s">
        <v>1502</v>
      </c>
      <c r="C765" s="55"/>
      <c r="D765" s="56"/>
      <c r="E765" s="57"/>
      <c r="F765" s="57"/>
      <c r="G765" s="57">
        <f>SUM(G766:G768)</f>
        <v>8078.59</v>
      </c>
    </row>
    <row r="766" spans="1:7" ht="24.95" customHeight="1" x14ac:dyDescent="0.25">
      <c r="A766" s="59" t="s">
        <v>1503</v>
      </c>
      <c r="B766" s="59" t="s">
        <v>1504</v>
      </c>
      <c r="C766" s="60" t="s">
        <v>48</v>
      </c>
      <c r="D766" s="61">
        <v>1</v>
      </c>
      <c r="E766" s="62">
        <v>2932.01</v>
      </c>
      <c r="F766" s="62">
        <f>2932.01*$G$7</f>
        <v>2932.01</v>
      </c>
      <c r="G766" s="62">
        <f>D766*F766</f>
        <v>2932.01</v>
      </c>
    </row>
    <row r="767" spans="1:7" s="70" customFormat="1" ht="24.95" customHeight="1" x14ac:dyDescent="0.25">
      <c r="A767" s="59" t="s">
        <v>1505</v>
      </c>
      <c r="B767" s="59" t="s">
        <v>1506</v>
      </c>
      <c r="C767" s="60" t="s">
        <v>1507</v>
      </c>
      <c r="D767" s="61">
        <v>1</v>
      </c>
      <c r="E767" s="62">
        <v>3820.07</v>
      </c>
      <c r="F767" s="62">
        <f>3820.07*$G$7</f>
        <v>3820.07</v>
      </c>
      <c r="G767" s="62">
        <f>D767*F767</f>
        <v>3820.07</v>
      </c>
    </row>
    <row r="768" spans="1:7" s="70" customFormat="1" ht="24.95" customHeight="1" x14ac:dyDescent="0.25">
      <c r="A768" s="59" t="s">
        <v>1508</v>
      </c>
      <c r="B768" s="59" t="s">
        <v>1509</v>
      </c>
      <c r="C768" s="60" t="s">
        <v>1507</v>
      </c>
      <c r="D768" s="61">
        <v>1</v>
      </c>
      <c r="E768" s="62">
        <v>1326.51</v>
      </c>
      <c r="F768" s="62">
        <f>1326.51*$G$7</f>
        <v>1326.51</v>
      </c>
      <c r="G768" s="62">
        <f>D768*F768</f>
        <v>1326.51</v>
      </c>
    </row>
    <row r="769" spans="1:15" ht="15" customHeight="1" x14ac:dyDescent="0.25">
      <c r="A769" s="55" t="s">
        <v>1510</v>
      </c>
      <c r="B769" s="55" t="s">
        <v>1511</v>
      </c>
      <c r="C769" s="55"/>
      <c r="D769" s="56"/>
      <c r="E769" s="57"/>
      <c r="F769" s="57"/>
      <c r="G769" s="57">
        <f>SUM(G770)</f>
        <v>2513.4659999999999</v>
      </c>
    </row>
    <row r="770" spans="1:15" ht="20.100000000000001" customHeight="1" x14ac:dyDescent="0.25">
      <c r="A770" s="59" t="s">
        <v>1512</v>
      </c>
      <c r="B770" s="59" t="s">
        <v>1513</v>
      </c>
      <c r="C770" s="60" t="s">
        <v>53</v>
      </c>
      <c r="D770" s="61">
        <v>891.3</v>
      </c>
      <c r="E770" s="62">
        <v>2.82</v>
      </c>
      <c r="F770" s="62">
        <f>2.82*$G$7</f>
        <v>2.82</v>
      </c>
      <c r="G770" s="62">
        <f>D770*F770</f>
        <v>2513.4659999999999</v>
      </c>
    </row>
    <row r="771" spans="1:15" x14ac:dyDescent="0.25">
      <c r="A771" s="45"/>
      <c r="B771" s="45"/>
      <c r="C771" s="45"/>
      <c r="D771" s="45"/>
      <c r="E771" s="45"/>
      <c r="F771" s="45"/>
      <c r="G771" s="45"/>
    </row>
    <row r="772" spans="1:15" ht="13.9" customHeight="1" x14ac:dyDescent="0.25">
      <c r="A772" s="45"/>
      <c r="B772" s="45"/>
      <c r="C772" s="105" t="s">
        <v>1514</v>
      </c>
      <c r="D772" s="105"/>
      <c r="E772" s="45"/>
      <c r="F772" s="69"/>
      <c r="G772" s="69">
        <f>SUM(G11+G43+G45+G51+G74+G115+G149+G185+G193+G201+G218+G233+G237+G256+G263+G415+G494+G520+G555+G578+G607+G661+G718+G747+G765+G769)</f>
        <v>2750711.6008000001</v>
      </c>
      <c r="I772" s="70"/>
      <c r="J772" s="70"/>
      <c r="K772" s="70"/>
      <c r="L772" s="70"/>
      <c r="M772" s="71"/>
      <c r="N772" s="71"/>
      <c r="O772" s="71"/>
    </row>
    <row r="773" spans="1:15" x14ac:dyDescent="0.25">
      <c r="A773" s="45"/>
      <c r="B773" s="45"/>
      <c r="C773" s="45"/>
      <c r="D773" s="45"/>
      <c r="E773" s="45"/>
      <c r="F773" s="45"/>
      <c r="G773" s="45"/>
      <c r="I773" s="70"/>
      <c r="J773" s="70"/>
      <c r="K773" s="70"/>
      <c r="L773" s="70"/>
    </row>
    <row r="774" spans="1:15" x14ac:dyDescent="0.25">
      <c r="A774" s="45"/>
      <c r="B774" s="45"/>
      <c r="C774" s="45"/>
      <c r="D774" s="45"/>
      <c r="E774" s="45"/>
      <c r="F774" s="45"/>
      <c r="G774" s="45"/>
      <c r="I774" s="70"/>
      <c r="J774" s="70"/>
      <c r="K774" s="70"/>
      <c r="L774" s="70"/>
    </row>
    <row r="775" spans="1:15" x14ac:dyDescent="0.25">
      <c r="A775" s="45"/>
      <c r="B775" s="45"/>
      <c r="C775" s="45"/>
      <c r="D775" s="45"/>
      <c r="E775" s="45"/>
      <c r="F775" s="45"/>
      <c r="G775" s="45"/>
      <c r="I775" s="70"/>
      <c r="J775" s="70"/>
      <c r="K775" s="70"/>
      <c r="L775" s="70"/>
    </row>
  </sheetData>
  <sheetProtection algorithmName="SHA-512" hashValue="roGpUq9UR7Jw1nygl/0oc38ZTgMHbgHFm00pQA5IQCPyc55nyVWfBhEvq7IOM8ZBZEKDCReemKomLHws7iu6Lg==" saltValue="x5q9u8R3hcNBbFHMrc+PRw==" spinCount="100000" sheet="1"/>
  <autoFilter ref="A10:G743"/>
  <mergeCells count="4">
    <mergeCell ref="A1:B4"/>
    <mergeCell ref="E6:G6"/>
    <mergeCell ref="A9:G9"/>
    <mergeCell ref="C772:D772"/>
  </mergeCells>
  <pageMargins left="0.70833333333333304" right="0.70833333333333304" top="0.74791666666666701" bottom="0.74861111111111101" header="0.51180555555555496" footer="0.31527777777777799"/>
  <pageSetup paperSize="9" scale="77" firstPageNumber="0" orientation="portrait" verticalDpi="0" r:id="rId1"/>
  <headerFooter>
    <oddFooter>&amp;CPágina &amp;P de &amp;N</oddFooter>
  </headerFooter>
  <rowBreaks count="1" manualBreakCount="1">
    <brk id="717" max="16383" man="1"/>
  </rowBreaks>
  <colBreaks count="1" manualBreakCount="1">
    <brk id="7" max="1048575"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68"/>
  <sheetViews>
    <sheetView view="pageBreakPreview" zoomScale="106" zoomScaleNormal="100" zoomScaleSheetLayoutView="106" workbookViewId="0">
      <selection sqref="A1:B4"/>
    </sheetView>
  </sheetViews>
  <sheetFormatPr defaultRowHeight="15" x14ac:dyDescent="0.25"/>
  <cols>
    <col min="1" max="1" width="7.85546875" style="72"/>
    <col min="2" max="2" width="23.42578125"/>
    <col min="3" max="3" width="11"/>
    <col min="4" max="6" width="11.85546875"/>
    <col min="7" max="7" width="13.140625" customWidth="1"/>
    <col min="8" max="11" width="12.5703125" bestFit="1" customWidth="1"/>
    <col min="12" max="1015" width="8.5703125"/>
  </cols>
  <sheetData>
    <row r="1" spans="1:11" x14ac:dyDescent="0.25">
      <c r="A1" s="102" t="s">
        <v>0</v>
      </c>
      <c r="B1" s="102"/>
      <c r="C1" s="73"/>
      <c r="D1" s="73"/>
      <c r="E1" s="73"/>
      <c r="F1" s="45"/>
      <c r="G1" s="45"/>
      <c r="H1" s="45"/>
      <c r="I1" s="45"/>
      <c r="J1" s="45"/>
      <c r="K1" s="45"/>
    </row>
    <row r="2" spans="1:11" x14ac:dyDescent="0.25">
      <c r="A2" s="102"/>
      <c r="B2" s="102"/>
      <c r="C2" s="73"/>
      <c r="D2" s="73"/>
      <c r="E2" s="73"/>
      <c r="F2" s="45"/>
      <c r="G2" s="45"/>
      <c r="H2" s="45"/>
      <c r="I2" s="45"/>
      <c r="J2" s="45"/>
      <c r="K2" s="45"/>
    </row>
    <row r="3" spans="1:11" x14ac:dyDescent="0.25">
      <c r="A3" s="102"/>
      <c r="B3" s="102"/>
      <c r="C3" s="73"/>
      <c r="D3" s="73"/>
      <c r="E3" s="73"/>
      <c r="F3" s="45"/>
      <c r="G3" s="45"/>
      <c r="H3" s="45"/>
      <c r="I3" s="45"/>
      <c r="J3" s="45"/>
      <c r="K3" s="45"/>
    </row>
    <row r="4" spans="1:11" x14ac:dyDescent="0.25">
      <c r="A4" s="102"/>
      <c r="B4" s="102"/>
      <c r="C4" s="73"/>
      <c r="D4" s="73"/>
      <c r="E4" s="73"/>
      <c r="F4" s="45"/>
      <c r="G4" s="45"/>
      <c r="H4" s="45"/>
      <c r="I4" s="45"/>
      <c r="J4" s="45"/>
      <c r="K4" s="45"/>
    </row>
    <row r="5" spans="1:11" x14ac:dyDescent="0.25">
      <c r="A5" s="74"/>
      <c r="B5" s="73"/>
      <c r="C5" s="73"/>
      <c r="D5" s="73"/>
      <c r="E5" s="73"/>
      <c r="F5" s="45"/>
      <c r="G5" s="45"/>
      <c r="H5" s="45"/>
      <c r="I5" s="45"/>
      <c r="J5" s="45"/>
      <c r="K5" s="45"/>
    </row>
    <row r="6" spans="1:11" x14ac:dyDescent="0.25">
      <c r="A6" s="75" t="s">
        <v>30</v>
      </c>
      <c r="B6" s="46" t="s">
        <v>31</v>
      </c>
      <c r="C6" s="51"/>
      <c r="D6" s="51"/>
      <c r="E6" s="51"/>
      <c r="F6" s="45"/>
      <c r="G6" s="45"/>
      <c r="H6" s="45"/>
      <c r="I6" s="45"/>
      <c r="J6" s="45"/>
      <c r="K6" s="45"/>
    </row>
    <row r="7" spans="1:11" x14ac:dyDescent="0.25">
      <c r="A7" s="75" t="s">
        <v>32</v>
      </c>
      <c r="B7" s="48" t="s">
        <v>4</v>
      </c>
      <c r="C7" s="51"/>
      <c r="D7" s="51"/>
      <c r="E7" s="51"/>
      <c r="F7" s="45"/>
      <c r="G7" s="45"/>
      <c r="H7" s="45"/>
      <c r="I7" s="45"/>
      <c r="J7" s="45"/>
      <c r="K7" s="45"/>
    </row>
    <row r="8" spans="1:11" x14ac:dyDescent="0.25">
      <c r="A8" s="76"/>
      <c r="B8" s="45"/>
      <c r="C8" s="45"/>
      <c r="D8" s="77"/>
      <c r="E8" s="77"/>
      <c r="F8" s="77"/>
      <c r="G8" s="77"/>
      <c r="H8" s="77"/>
      <c r="I8" s="77"/>
      <c r="J8" s="77"/>
      <c r="K8" s="77"/>
    </row>
    <row r="9" spans="1:11" ht="15" customHeight="1" x14ac:dyDescent="0.25">
      <c r="A9" s="106" t="s">
        <v>1515</v>
      </c>
      <c r="B9" s="106"/>
      <c r="C9" s="106"/>
      <c r="D9" s="106"/>
      <c r="E9" s="106"/>
      <c r="F9" s="106"/>
      <c r="G9" s="106"/>
      <c r="H9" s="106"/>
      <c r="I9" s="106"/>
      <c r="J9" s="106"/>
      <c r="K9" s="106"/>
    </row>
    <row r="10" spans="1:11" ht="24" x14ac:dyDescent="0.25">
      <c r="A10" s="78" t="s">
        <v>35</v>
      </c>
      <c r="B10" s="52" t="s">
        <v>36</v>
      </c>
      <c r="C10" s="79" t="s">
        <v>1516</v>
      </c>
      <c r="D10" s="79" t="s">
        <v>1517</v>
      </c>
      <c r="E10" s="79" t="s">
        <v>1518</v>
      </c>
      <c r="F10" s="79" t="s">
        <v>1519</v>
      </c>
      <c r="G10" s="79" t="s">
        <v>1520</v>
      </c>
      <c r="H10" s="79" t="s">
        <v>1521</v>
      </c>
      <c r="I10" s="79" t="s">
        <v>1522</v>
      </c>
      <c r="J10" s="79" t="s">
        <v>1523</v>
      </c>
      <c r="K10" s="79" t="s">
        <v>1524</v>
      </c>
    </row>
    <row r="11" spans="1:11" s="82" customFormat="1" ht="21.95" customHeight="1" x14ac:dyDescent="0.25">
      <c r="A11" s="80" t="s">
        <v>42</v>
      </c>
      <c r="B11" s="55" t="s">
        <v>43</v>
      </c>
      <c r="C11" s="57">
        <f>'Planilha de Cotação'!G11</f>
        <v>273910.19299999997</v>
      </c>
      <c r="D11" s="81">
        <v>0.2</v>
      </c>
      <c r="E11" s="81">
        <v>0.1</v>
      </c>
      <c r="F11" s="81">
        <v>0.12</v>
      </c>
      <c r="G11" s="81">
        <v>0.11</v>
      </c>
      <c r="H11" s="81">
        <v>0.11</v>
      </c>
      <c r="I11" s="81">
        <v>0.11</v>
      </c>
      <c r="J11" s="81">
        <v>0.11</v>
      </c>
      <c r="K11" s="81">
        <v>0.14000000000000001</v>
      </c>
    </row>
    <row r="12" spans="1:11" s="82" customFormat="1" ht="21.95" customHeight="1" x14ac:dyDescent="0.25">
      <c r="A12" s="80"/>
      <c r="B12" s="55"/>
      <c r="C12" s="83">
        <f>SUM(D11:K11)</f>
        <v>1</v>
      </c>
      <c r="D12" s="84">
        <f t="shared" ref="D12:K12" si="0">$C11*D11</f>
        <v>54782.0386</v>
      </c>
      <c r="E12" s="84">
        <f t="shared" si="0"/>
        <v>27391.0193</v>
      </c>
      <c r="F12" s="84">
        <f t="shared" si="0"/>
        <v>32869.223159999994</v>
      </c>
      <c r="G12" s="84">
        <f t="shared" si="0"/>
        <v>30130.121229999997</v>
      </c>
      <c r="H12" s="84">
        <f t="shared" si="0"/>
        <v>30130.121229999997</v>
      </c>
      <c r="I12" s="84">
        <f t="shared" si="0"/>
        <v>30130.121229999997</v>
      </c>
      <c r="J12" s="84">
        <f t="shared" si="0"/>
        <v>30130.121229999997</v>
      </c>
      <c r="K12" s="84">
        <f t="shared" si="0"/>
        <v>38347.427020000003</v>
      </c>
    </row>
    <row r="13" spans="1:11" s="82" customFormat="1" ht="21.95" customHeight="1" x14ac:dyDescent="0.25">
      <c r="A13" s="80" t="s">
        <v>112</v>
      </c>
      <c r="B13" s="55" t="s">
        <v>113</v>
      </c>
      <c r="C13" s="57">
        <f>'Planilha de Cotação'!G43</f>
        <v>5532</v>
      </c>
      <c r="D13" s="81"/>
      <c r="E13" s="81"/>
      <c r="F13" s="81">
        <v>0.2</v>
      </c>
      <c r="G13" s="81">
        <v>0.4</v>
      </c>
      <c r="H13" s="81">
        <v>0.4</v>
      </c>
      <c r="I13" s="81"/>
      <c r="J13" s="81"/>
      <c r="K13" s="81"/>
    </row>
    <row r="14" spans="1:11" s="82" customFormat="1" ht="21.95" customHeight="1" x14ac:dyDescent="0.25">
      <c r="A14" s="80"/>
      <c r="B14" s="55"/>
      <c r="C14" s="83">
        <f>SUM(D13:K13)</f>
        <v>1</v>
      </c>
      <c r="D14" s="84">
        <f t="shared" ref="D14:K14" si="1">$C13*D13</f>
        <v>0</v>
      </c>
      <c r="E14" s="84">
        <f t="shared" si="1"/>
        <v>0</v>
      </c>
      <c r="F14" s="84">
        <f t="shared" si="1"/>
        <v>1106.4000000000001</v>
      </c>
      <c r="G14" s="84">
        <f t="shared" si="1"/>
        <v>2212.8000000000002</v>
      </c>
      <c r="H14" s="84">
        <f t="shared" si="1"/>
        <v>2212.8000000000002</v>
      </c>
      <c r="I14" s="84">
        <f t="shared" si="1"/>
        <v>0</v>
      </c>
      <c r="J14" s="84">
        <f t="shared" si="1"/>
        <v>0</v>
      </c>
      <c r="K14" s="84">
        <f t="shared" si="1"/>
        <v>0</v>
      </c>
    </row>
    <row r="15" spans="1:11" s="82" customFormat="1" ht="21.95" customHeight="1" x14ac:dyDescent="0.25">
      <c r="A15" s="80" t="s">
        <v>116</v>
      </c>
      <c r="B15" s="55" t="s">
        <v>117</v>
      </c>
      <c r="C15" s="57">
        <f>'Planilha de Cotação'!G45</f>
        <v>16579.654399999999</v>
      </c>
      <c r="D15" s="81">
        <v>1</v>
      </c>
      <c r="E15" s="81"/>
      <c r="F15" s="81"/>
      <c r="G15" s="81"/>
      <c r="H15" s="81"/>
      <c r="I15" s="81"/>
      <c r="J15" s="81"/>
      <c r="K15" s="81"/>
    </row>
    <row r="16" spans="1:11" s="82" customFormat="1" ht="21.95" customHeight="1" x14ac:dyDescent="0.25">
      <c r="A16" s="80"/>
      <c r="B16" s="55"/>
      <c r="C16" s="83">
        <f>SUM(D15:K15)</f>
        <v>1</v>
      </c>
      <c r="D16" s="84">
        <f t="shared" ref="D16:K16" si="2">$C15*D15</f>
        <v>16579.654399999999</v>
      </c>
      <c r="E16" s="84">
        <f t="shared" si="2"/>
        <v>0</v>
      </c>
      <c r="F16" s="84">
        <f t="shared" si="2"/>
        <v>0</v>
      </c>
      <c r="G16" s="84">
        <f t="shared" si="2"/>
        <v>0</v>
      </c>
      <c r="H16" s="84">
        <f t="shared" si="2"/>
        <v>0</v>
      </c>
      <c r="I16" s="84">
        <f t="shared" si="2"/>
        <v>0</v>
      </c>
      <c r="J16" s="84">
        <f t="shared" si="2"/>
        <v>0</v>
      </c>
      <c r="K16" s="84">
        <f t="shared" si="2"/>
        <v>0</v>
      </c>
    </row>
    <row r="17" spans="1:11" s="82" customFormat="1" ht="21.95" customHeight="1" x14ac:dyDescent="0.25">
      <c r="A17" s="80" t="s">
        <v>130</v>
      </c>
      <c r="B17" s="55" t="s">
        <v>131</v>
      </c>
      <c r="C17" s="57">
        <f>'Planilha de Cotação'!G51</f>
        <v>123233.02190000001</v>
      </c>
      <c r="D17" s="81">
        <v>0.4</v>
      </c>
      <c r="E17" s="81">
        <v>0.6</v>
      </c>
      <c r="F17" s="81"/>
      <c r="G17" s="81"/>
      <c r="H17" s="81"/>
      <c r="I17" s="81"/>
      <c r="J17" s="81"/>
      <c r="K17" s="81"/>
    </row>
    <row r="18" spans="1:11" s="82" customFormat="1" ht="21.95" customHeight="1" x14ac:dyDescent="0.25">
      <c r="A18" s="80"/>
      <c r="B18" s="55"/>
      <c r="C18" s="83">
        <f>SUM(D17:K17)</f>
        <v>1</v>
      </c>
      <c r="D18" s="84">
        <f t="shared" ref="D18:K18" si="3">$C17*D17</f>
        <v>49293.208760000009</v>
      </c>
      <c r="E18" s="84">
        <f t="shared" si="3"/>
        <v>73939.813139999998</v>
      </c>
      <c r="F18" s="84">
        <f t="shared" si="3"/>
        <v>0</v>
      </c>
      <c r="G18" s="84">
        <f t="shared" si="3"/>
        <v>0</v>
      </c>
      <c r="H18" s="84">
        <f t="shared" si="3"/>
        <v>0</v>
      </c>
      <c r="I18" s="84">
        <f t="shared" si="3"/>
        <v>0</v>
      </c>
      <c r="J18" s="84">
        <f t="shared" si="3"/>
        <v>0</v>
      </c>
      <c r="K18" s="84">
        <f t="shared" si="3"/>
        <v>0</v>
      </c>
    </row>
    <row r="19" spans="1:11" s="82" customFormat="1" ht="21.95" customHeight="1" x14ac:dyDescent="0.25">
      <c r="A19" s="80" t="s">
        <v>175</v>
      </c>
      <c r="B19" s="55" t="s">
        <v>176</v>
      </c>
      <c r="C19" s="57">
        <f>'Planilha de Cotação'!G74</f>
        <v>353602.72659999994</v>
      </c>
      <c r="D19" s="81">
        <v>0.1</v>
      </c>
      <c r="E19" s="81">
        <v>0.4</v>
      </c>
      <c r="F19" s="81">
        <v>0.5</v>
      </c>
      <c r="G19" s="81"/>
      <c r="H19" s="81"/>
      <c r="I19" s="81"/>
      <c r="J19" s="81"/>
      <c r="K19" s="81"/>
    </row>
    <row r="20" spans="1:11" s="82" customFormat="1" ht="21.95" customHeight="1" x14ac:dyDescent="0.25">
      <c r="A20" s="80"/>
      <c r="B20" s="55"/>
      <c r="C20" s="83">
        <f>SUM(D19:K19)</f>
        <v>1</v>
      </c>
      <c r="D20" s="84">
        <f t="shared" ref="D20:K20" si="4">$C19*D19</f>
        <v>35360.272659999995</v>
      </c>
      <c r="E20" s="84">
        <f t="shared" si="4"/>
        <v>141441.09063999998</v>
      </c>
      <c r="F20" s="84">
        <f t="shared" si="4"/>
        <v>176801.36329999997</v>
      </c>
      <c r="G20" s="84">
        <f t="shared" si="4"/>
        <v>0</v>
      </c>
      <c r="H20" s="84">
        <f t="shared" si="4"/>
        <v>0</v>
      </c>
      <c r="I20" s="84">
        <f t="shared" si="4"/>
        <v>0</v>
      </c>
      <c r="J20" s="84">
        <f t="shared" si="4"/>
        <v>0</v>
      </c>
      <c r="K20" s="84">
        <f t="shared" si="4"/>
        <v>0</v>
      </c>
    </row>
    <row r="21" spans="1:11" s="82" customFormat="1" ht="21.95" customHeight="1" x14ac:dyDescent="0.25">
      <c r="A21" s="80" t="s">
        <v>256</v>
      </c>
      <c r="B21" s="55" t="s">
        <v>257</v>
      </c>
      <c r="C21" s="57">
        <f>'Planilha de Cotação'!G115</f>
        <v>180557.44500000004</v>
      </c>
      <c r="D21" s="81"/>
      <c r="E21" s="81">
        <v>0.3</v>
      </c>
      <c r="F21" s="81">
        <v>0.5</v>
      </c>
      <c r="G21" s="81"/>
      <c r="H21" s="81"/>
      <c r="I21" s="81">
        <v>0.2</v>
      </c>
      <c r="J21" s="81"/>
      <c r="K21" s="81"/>
    </row>
    <row r="22" spans="1:11" s="82" customFormat="1" ht="21.95" customHeight="1" x14ac:dyDescent="0.25">
      <c r="A22" s="80"/>
      <c r="B22" s="55"/>
      <c r="C22" s="83">
        <f>SUM(D21:K21)</f>
        <v>1</v>
      </c>
      <c r="D22" s="84">
        <f t="shared" ref="D22:K22" si="5">$C21*D21</f>
        <v>0</v>
      </c>
      <c r="E22" s="84">
        <f t="shared" si="5"/>
        <v>54167.233500000009</v>
      </c>
      <c r="F22" s="84">
        <f t="shared" si="5"/>
        <v>90278.722500000018</v>
      </c>
      <c r="G22" s="84">
        <f t="shared" si="5"/>
        <v>0</v>
      </c>
      <c r="H22" s="84">
        <f t="shared" si="5"/>
        <v>0</v>
      </c>
      <c r="I22" s="84">
        <f t="shared" si="5"/>
        <v>36111.489000000009</v>
      </c>
      <c r="J22" s="84">
        <f t="shared" si="5"/>
        <v>0</v>
      </c>
      <c r="K22" s="84">
        <f t="shared" si="5"/>
        <v>0</v>
      </c>
    </row>
    <row r="23" spans="1:11" s="82" customFormat="1" ht="21.95" customHeight="1" x14ac:dyDescent="0.25">
      <c r="A23" s="80" t="s">
        <v>322</v>
      </c>
      <c r="B23" s="55" t="s">
        <v>323</v>
      </c>
      <c r="C23" s="57">
        <f>'Planilha de Cotação'!G149</f>
        <v>167879.97999999998</v>
      </c>
      <c r="D23" s="81"/>
      <c r="E23" s="81"/>
      <c r="F23" s="81"/>
      <c r="G23" s="81">
        <v>0.4</v>
      </c>
      <c r="H23" s="81">
        <v>0.3</v>
      </c>
      <c r="I23" s="81">
        <v>0.3</v>
      </c>
      <c r="J23" s="81"/>
      <c r="K23" s="81"/>
    </row>
    <row r="24" spans="1:11" s="82" customFormat="1" ht="21.95" customHeight="1" x14ac:dyDescent="0.25">
      <c r="A24" s="80"/>
      <c r="B24" s="55"/>
      <c r="C24" s="83">
        <f>SUM(D23:K23)</f>
        <v>1</v>
      </c>
      <c r="D24" s="84">
        <f t="shared" ref="D24:K24" si="6">$C23*D23</f>
        <v>0</v>
      </c>
      <c r="E24" s="84">
        <f t="shared" si="6"/>
        <v>0</v>
      </c>
      <c r="F24" s="84">
        <f t="shared" si="6"/>
        <v>0</v>
      </c>
      <c r="G24" s="84">
        <f t="shared" si="6"/>
        <v>67151.991999999998</v>
      </c>
      <c r="H24" s="84">
        <f t="shared" si="6"/>
        <v>50363.993999999992</v>
      </c>
      <c r="I24" s="84">
        <f t="shared" si="6"/>
        <v>50363.993999999992</v>
      </c>
      <c r="J24" s="84">
        <f t="shared" si="6"/>
        <v>0</v>
      </c>
      <c r="K24" s="84">
        <f t="shared" si="6"/>
        <v>0</v>
      </c>
    </row>
    <row r="25" spans="1:11" s="82" customFormat="1" ht="21.95" customHeight="1" x14ac:dyDescent="0.25">
      <c r="A25" s="80" t="s">
        <v>394</v>
      </c>
      <c r="B25" s="55" t="s">
        <v>395</v>
      </c>
      <c r="C25" s="57">
        <f>'Planilha de Cotação'!G185</f>
        <v>70781.457000000009</v>
      </c>
      <c r="D25" s="81"/>
      <c r="E25" s="81"/>
      <c r="F25" s="81"/>
      <c r="G25" s="81"/>
      <c r="H25" s="81">
        <v>0.5</v>
      </c>
      <c r="I25" s="81">
        <v>0.5</v>
      </c>
      <c r="J25" s="81"/>
      <c r="K25" s="81"/>
    </row>
    <row r="26" spans="1:11" s="82" customFormat="1" ht="21.95" customHeight="1" x14ac:dyDescent="0.25">
      <c r="A26" s="80"/>
      <c r="B26" s="55"/>
      <c r="C26" s="83">
        <f>SUM(D25:K25)</f>
        <v>1</v>
      </c>
      <c r="D26" s="84">
        <f t="shared" ref="D26:K26" si="7">$C25*D25</f>
        <v>0</v>
      </c>
      <c r="E26" s="84">
        <f t="shared" si="7"/>
        <v>0</v>
      </c>
      <c r="F26" s="84">
        <f t="shared" si="7"/>
        <v>0</v>
      </c>
      <c r="G26" s="84">
        <f t="shared" si="7"/>
        <v>0</v>
      </c>
      <c r="H26" s="84">
        <f t="shared" si="7"/>
        <v>35390.728500000005</v>
      </c>
      <c r="I26" s="84">
        <f t="shared" si="7"/>
        <v>35390.728500000005</v>
      </c>
      <c r="J26" s="84">
        <f t="shared" si="7"/>
        <v>0</v>
      </c>
      <c r="K26" s="84">
        <f t="shared" si="7"/>
        <v>0</v>
      </c>
    </row>
    <row r="27" spans="1:11" s="82" customFormat="1" ht="21.95" customHeight="1" x14ac:dyDescent="0.25">
      <c r="A27" s="80" t="s">
        <v>410</v>
      </c>
      <c r="B27" s="55" t="s">
        <v>411</v>
      </c>
      <c r="C27" s="57">
        <f>'Planilha de Cotação'!G193</f>
        <v>87846.825500000006</v>
      </c>
      <c r="D27" s="81"/>
      <c r="E27" s="81"/>
      <c r="F27" s="81"/>
      <c r="G27" s="81">
        <v>1</v>
      </c>
      <c r="H27" s="81"/>
      <c r="I27" s="81"/>
      <c r="J27" s="81"/>
      <c r="K27" s="81"/>
    </row>
    <row r="28" spans="1:11" s="82" customFormat="1" ht="21.95" customHeight="1" x14ac:dyDescent="0.25">
      <c r="A28" s="80"/>
      <c r="B28" s="55"/>
      <c r="C28" s="83">
        <f>SUM(D27:K27)</f>
        <v>1</v>
      </c>
      <c r="D28" s="84">
        <f t="shared" ref="D28:K28" si="8">$C27*D27</f>
        <v>0</v>
      </c>
      <c r="E28" s="84">
        <f t="shared" si="8"/>
        <v>0</v>
      </c>
      <c r="F28" s="84">
        <f t="shared" si="8"/>
        <v>0</v>
      </c>
      <c r="G28" s="84">
        <f t="shared" si="8"/>
        <v>87846.825500000006</v>
      </c>
      <c r="H28" s="84">
        <f t="shared" si="8"/>
        <v>0</v>
      </c>
      <c r="I28" s="84">
        <f t="shared" si="8"/>
        <v>0</v>
      </c>
      <c r="J28" s="84">
        <f t="shared" si="8"/>
        <v>0</v>
      </c>
      <c r="K28" s="84">
        <f t="shared" si="8"/>
        <v>0</v>
      </c>
    </row>
    <row r="29" spans="1:11" s="82" customFormat="1" ht="21.95" customHeight="1" x14ac:dyDescent="0.25">
      <c r="A29" s="80" t="s">
        <v>427</v>
      </c>
      <c r="B29" s="55" t="s">
        <v>428</v>
      </c>
      <c r="C29" s="57">
        <f>'Planilha de Cotação'!G201</f>
        <v>236462.55209999997</v>
      </c>
      <c r="D29" s="81"/>
      <c r="E29" s="81"/>
      <c r="F29" s="81">
        <v>0.2</v>
      </c>
      <c r="G29" s="81">
        <v>0.4</v>
      </c>
      <c r="H29" s="81">
        <v>0.4</v>
      </c>
      <c r="I29" s="81"/>
      <c r="J29" s="81"/>
      <c r="K29" s="81"/>
    </row>
    <row r="30" spans="1:11" s="82" customFormat="1" ht="21.95" customHeight="1" x14ac:dyDescent="0.25">
      <c r="A30" s="80"/>
      <c r="B30" s="55"/>
      <c r="C30" s="83">
        <f>SUM(D29:K29)</f>
        <v>1</v>
      </c>
      <c r="D30" s="84">
        <f t="shared" ref="D30:K30" si="9">$C29*D29</f>
        <v>0</v>
      </c>
      <c r="E30" s="84">
        <f t="shared" si="9"/>
        <v>0</v>
      </c>
      <c r="F30" s="84">
        <f t="shared" si="9"/>
        <v>47292.510419999999</v>
      </c>
      <c r="G30" s="84">
        <f t="shared" si="9"/>
        <v>94585.020839999997</v>
      </c>
      <c r="H30" s="84">
        <f t="shared" si="9"/>
        <v>94585.020839999997</v>
      </c>
      <c r="I30" s="84">
        <f t="shared" si="9"/>
        <v>0</v>
      </c>
      <c r="J30" s="84">
        <f t="shared" si="9"/>
        <v>0</v>
      </c>
      <c r="K30" s="84">
        <f t="shared" si="9"/>
        <v>0</v>
      </c>
    </row>
    <row r="31" spans="1:11" s="82" customFormat="1" ht="21.95" customHeight="1" x14ac:dyDescent="0.25">
      <c r="A31" s="80" t="s">
        <v>458</v>
      </c>
      <c r="B31" s="55" t="s">
        <v>459</v>
      </c>
      <c r="C31" s="57">
        <f>'Planilha de Cotação'!G218</f>
        <v>183307.23700000002</v>
      </c>
      <c r="D31" s="81"/>
      <c r="E31" s="81"/>
      <c r="F31" s="81"/>
      <c r="G31" s="81">
        <v>0.2</v>
      </c>
      <c r="H31" s="81">
        <v>0.2</v>
      </c>
      <c r="I31" s="81">
        <v>0.2</v>
      </c>
      <c r="J31" s="81"/>
      <c r="K31" s="81">
        <v>0.4</v>
      </c>
    </row>
    <row r="32" spans="1:11" s="82" customFormat="1" ht="21.95" customHeight="1" x14ac:dyDescent="0.25">
      <c r="A32" s="80"/>
      <c r="B32" s="55"/>
      <c r="C32" s="83">
        <f>SUM(D31:K31)</f>
        <v>1</v>
      </c>
      <c r="D32" s="84">
        <f t="shared" ref="D32:K32" si="10">$C31*D31</f>
        <v>0</v>
      </c>
      <c r="E32" s="84">
        <f t="shared" si="10"/>
        <v>0</v>
      </c>
      <c r="F32" s="84">
        <f t="shared" si="10"/>
        <v>0</v>
      </c>
      <c r="G32" s="84">
        <f t="shared" si="10"/>
        <v>36661.447400000005</v>
      </c>
      <c r="H32" s="84">
        <f t="shared" si="10"/>
        <v>36661.447400000005</v>
      </c>
      <c r="I32" s="84">
        <f t="shared" si="10"/>
        <v>36661.447400000005</v>
      </c>
      <c r="J32" s="84">
        <f t="shared" si="10"/>
        <v>0</v>
      </c>
      <c r="K32" s="84">
        <f t="shared" si="10"/>
        <v>73322.894800000009</v>
      </c>
    </row>
    <row r="33" spans="1:11" s="82" customFormat="1" ht="21.95" customHeight="1" x14ac:dyDescent="0.25">
      <c r="A33" s="80" t="s">
        <v>488</v>
      </c>
      <c r="B33" s="55" t="s">
        <v>489</v>
      </c>
      <c r="C33" s="57">
        <f>'Planilha de Cotação'!G233</f>
        <v>65093.343000000001</v>
      </c>
      <c r="D33" s="81"/>
      <c r="E33" s="81"/>
      <c r="F33" s="81"/>
      <c r="G33" s="81"/>
      <c r="H33" s="81"/>
      <c r="I33" s="81"/>
      <c r="J33" s="81">
        <v>0.7</v>
      </c>
      <c r="K33" s="81">
        <v>0.3</v>
      </c>
    </row>
    <row r="34" spans="1:11" s="82" customFormat="1" ht="21.95" customHeight="1" x14ac:dyDescent="0.25">
      <c r="A34" s="80"/>
      <c r="B34" s="55"/>
      <c r="C34" s="83">
        <f>SUM(D33:K33)</f>
        <v>1</v>
      </c>
      <c r="D34" s="84">
        <f t="shared" ref="D34:K34" si="11">$C33*D33</f>
        <v>0</v>
      </c>
      <c r="E34" s="84">
        <f t="shared" si="11"/>
        <v>0</v>
      </c>
      <c r="F34" s="84">
        <f t="shared" si="11"/>
        <v>0</v>
      </c>
      <c r="G34" s="84">
        <f t="shared" si="11"/>
        <v>0</v>
      </c>
      <c r="H34" s="84">
        <f t="shared" si="11"/>
        <v>0</v>
      </c>
      <c r="I34" s="84">
        <f t="shared" si="11"/>
        <v>0</v>
      </c>
      <c r="J34" s="84">
        <f t="shared" si="11"/>
        <v>45565.340100000001</v>
      </c>
      <c r="K34" s="84">
        <f t="shared" si="11"/>
        <v>19528.002899999999</v>
      </c>
    </row>
    <row r="35" spans="1:11" s="82" customFormat="1" ht="21.95" customHeight="1" x14ac:dyDescent="0.25">
      <c r="A35" s="80" t="s">
        <v>496</v>
      </c>
      <c r="B35" s="55" t="s">
        <v>497</v>
      </c>
      <c r="C35" s="57">
        <f>'Planilha de Cotação'!G237</f>
        <v>69454.596000000005</v>
      </c>
      <c r="D35" s="81"/>
      <c r="E35" s="81"/>
      <c r="F35" s="81"/>
      <c r="G35" s="81"/>
      <c r="H35" s="81"/>
      <c r="I35" s="81">
        <v>0.5</v>
      </c>
      <c r="J35" s="81">
        <v>0.5</v>
      </c>
      <c r="K35" s="81"/>
    </row>
    <row r="36" spans="1:11" s="82" customFormat="1" ht="21.95" customHeight="1" x14ac:dyDescent="0.25">
      <c r="A36" s="80"/>
      <c r="B36" s="55"/>
      <c r="C36" s="83">
        <f>SUM(D35:K35)</f>
        <v>1</v>
      </c>
      <c r="D36" s="84">
        <f t="shared" ref="D36:K36" si="12">$C35*D35</f>
        <v>0</v>
      </c>
      <c r="E36" s="84">
        <f t="shared" si="12"/>
        <v>0</v>
      </c>
      <c r="F36" s="84">
        <f t="shared" si="12"/>
        <v>0</v>
      </c>
      <c r="G36" s="84">
        <f t="shared" si="12"/>
        <v>0</v>
      </c>
      <c r="H36" s="84">
        <f t="shared" si="12"/>
        <v>0</v>
      </c>
      <c r="I36" s="84">
        <f t="shared" si="12"/>
        <v>34727.298000000003</v>
      </c>
      <c r="J36" s="84">
        <f t="shared" si="12"/>
        <v>34727.298000000003</v>
      </c>
      <c r="K36" s="84">
        <f t="shared" si="12"/>
        <v>0</v>
      </c>
    </row>
    <row r="37" spans="1:11" s="82" customFormat="1" ht="21.95" customHeight="1" x14ac:dyDescent="0.25">
      <c r="A37" s="80" t="s">
        <v>527</v>
      </c>
      <c r="B37" s="55" t="s">
        <v>528</v>
      </c>
      <c r="C37" s="57">
        <f>'Planilha de Cotação'!G256</f>
        <v>71390.590700000001</v>
      </c>
      <c r="D37" s="81"/>
      <c r="E37" s="81"/>
      <c r="F37" s="81"/>
      <c r="G37" s="81"/>
      <c r="H37" s="81"/>
      <c r="I37" s="81"/>
      <c r="J37" s="81">
        <v>0.3</v>
      </c>
      <c r="K37" s="81">
        <v>0.7</v>
      </c>
    </row>
    <row r="38" spans="1:11" s="82" customFormat="1" ht="21.95" customHeight="1" x14ac:dyDescent="0.25">
      <c r="A38" s="80"/>
      <c r="B38" s="55"/>
      <c r="C38" s="83">
        <f>SUM(D37:K37)</f>
        <v>1</v>
      </c>
      <c r="D38" s="84">
        <f t="shared" ref="D38:K38" si="13">$C37*D37</f>
        <v>0</v>
      </c>
      <c r="E38" s="84">
        <f t="shared" si="13"/>
        <v>0</v>
      </c>
      <c r="F38" s="84">
        <f t="shared" si="13"/>
        <v>0</v>
      </c>
      <c r="G38" s="84">
        <f t="shared" si="13"/>
        <v>0</v>
      </c>
      <c r="H38" s="84">
        <f t="shared" si="13"/>
        <v>0</v>
      </c>
      <c r="I38" s="84">
        <f t="shared" si="13"/>
        <v>0</v>
      </c>
      <c r="J38" s="84">
        <f t="shared" si="13"/>
        <v>21417.177209999998</v>
      </c>
      <c r="K38" s="84">
        <f t="shared" si="13"/>
        <v>49973.413489999999</v>
      </c>
    </row>
    <row r="39" spans="1:11" s="82" customFormat="1" ht="21.95" customHeight="1" x14ac:dyDescent="0.25">
      <c r="A39" s="80" t="s">
        <v>541</v>
      </c>
      <c r="B39" s="55" t="s">
        <v>542</v>
      </c>
      <c r="C39" s="57">
        <f>'Planilha de Cotação'!G263</f>
        <v>290658.36500000005</v>
      </c>
      <c r="D39" s="81"/>
      <c r="E39" s="81"/>
      <c r="F39" s="81"/>
      <c r="G39" s="81">
        <v>0.1</v>
      </c>
      <c r="H39" s="81">
        <v>0.2</v>
      </c>
      <c r="I39" s="81">
        <v>0.2</v>
      </c>
      <c r="J39" s="81">
        <v>0.25</v>
      </c>
      <c r="K39" s="81">
        <v>0.25</v>
      </c>
    </row>
    <row r="40" spans="1:11" s="82" customFormat="1" ht="21.95" customHeight="1" x14ac:dyDescent="0.25">
      <c r="A40" s="80"/>
      <c r="B40" s="55"/>
      <c r="C40" s="83">
        <f>SUM(D39:K39)</f>
        <v>1</v>
      </c>
      <c r="D40" s="84">
        <f t="shared" ref="D40:K40" si="14">$C39*D39</f>
        <v>0</v>
      </c>
      <c r="E40" s="84">
        <f t="shared" si="14"/>
        <v>0</v>
      </c>
      <c r="F40" s="84">
        <f t="shared" si="14"/>
        <v>0</v>
      </c>
      <c r="G40" s="84">
        <f t="shared" si="14"/>
        <v>29065.836500000005</v>
      </c>
      <c r="H40" s="84">
        <f t="shared" si="14"/>
        <v>58131.67300000001</v>
      </c>
      <c r="I40" s="84">
        <f t="shared" si="14"/>
        <v>58131.67300000001</v>
      </c>
      <c r="J40" s="84">
        <f t="shared" si="14"/>
        <v>72664.591250000012</v>
      </c>
      <c r="K40" s="84">
        <f t="shared" si="14"/>
        <v>72664.591250000012</v>
      </c>
    </row>
    <row r="41" spans="1:11" s="82" customFormat="1" ht="21.95" customHeight="1" x14ac:dyDescent="0.25">
      <c r="A41" s="80" t="s">
        <v>842</v>
      </c>
      <c r="B41" s="55" t="s">
        <v>843</v>
      </c>
      <c r="C41" s="57">
        <f>'Planilha de Cotação'!G415</f>
        <v>77159.709499999997</v>
      </c>
      <c r="D41" s="81"/>
      <c r="E41" s="81"/>
      <c r="F41" s="81"/>
      <c r="G41" s="81"/>
      <c r="H41" s="81">
        <v>0.2</v>
      </c>
      <c r="I41" s="81">
        <v>0.2</v>
      </c>
      <c r="J41" s="81">
        <v>0.3</v>
      </c>
      <c r="K41" s="81">
        <v>0.3</v>
      </c>
    </row>
    <row r="42" spans="1:11" s="82" customFormat="1" ht="21.95" customHeight="1" x14ac:dyDescent="0.25">
      <c r="A42" s="80"/>
      <c r="B42" s="55"/>
      <c r="C42" s="83">
        <f>SUM(D41:K41)</f>
        <v>1</v>
      </c>
      <c r="D42" s="84">
        <f t="shared" ref="D42:K42" si="15">$C41*D41</f>
        <v>0</v>
      </c>
      <c r="E42" s="84">
        <f t="shared" si="15"/>
        <v>0</v>
      </c>
      <c r="F42" s="84">
        <f t="shared" si="15"/>
        <v>0</v>
      </c>
      <c r="G42" s="84">
        <f t="shared" si="15"/>
        <v>0</v>
      </c>
      <c r="H42" s="84">
        <f t="shared" si="15"/>
        <v>15431.9419</v>
      </c>
      <c r="I42" s="84">
        <f t="shared" si="15"/>
        <v>15431.9419</v>
      </c>
      <c r="J42" s="84">
        <f t="shared" si="15"/>
        <v>23147.912849999997</v>
      </c>
      <c r="K42" s="84">
        <f t="shared" si="15"/>
        <v>23147.912849999997</v>
      </c>
    </row>
    <row r="43" spans="1:11" s="82" customFormat="1" ht="21.95" customHeight="1" x14ac:dyDescent="0.25">
      <c r="A43" s="80" t="s">
        <v>983</v>
      </c>
      <c r="B43" s="55" t="s">
        <v>984</v>
      </c>
      <c r="C43" s="57">
        <f>'Planilha de Cotação'!G494</f>
        <v>42680.092999999993</v>
      </c>
      <c r="D43" s="81"/>
      <c r="E43" s="81">
        <v>0.2</v>
      </c>
      <c r="F43" s="81">
        <v>0.3</v>
      </c>
      <c r="G43" s="81"/>
      <c r="H43" s="81"/>
      <c r="I43" s="81">
        <v>0.15</v>
      </c>
      <c r="J43" s="81">
        <v>0.15</v>
      </c>
      <c r="K43" s="81">
        <v>0.2</v>
      </c>
    </row>
    <row r="44" spans="1:11" ht="21.95" customHeight="1" x14ac:dyDescent="0.25">
      <c r="A44" s="80"/>
      <c r="B44" s="55"/>
      <c r="C44" s="83">
        <f>SUM(D43:K43)</f>
        <v>1</v>
      </c>
      <c r="D44" s="84">
        <f t="shared" ref="D44:K44" si="16">$C43*D43</f>
        <v>0</v>
      </c>
      <c r="E44" s="84">
        <f t="shared" si="16"/>
        <v>8536.0185999999994</v>
      </c>
      <c r="F44" s="84">
        <f t="shared" si="16"/>
        <v>12804.027899999997</v>
      </c>
      <c r="G44" s="84">
        <f t="shared" si="16"/>
        <v>0</v>
      </c>
      <c r="H44" s="84">
        <f t="shared" si="16"/>
        <v>0</v>
      </c>
      <c r="I44" s="84">
        <f t="shared" si="16"/>
        <v>6402.0139499999987</v>
      </c>
      <c r="J44" s="84">
        <f t="shared" si="16"/>
        <v>6402.0139499999987</v>
      </c>
      <c r="K44" s="84">
        <f t="shared" si="16"/>
        <v>8536.0185999999994</v>
      </c>
    </row>
    <row r="45" spans="1:11" ht="21.95" customHeight="1" x14ac:dyDescent="0.25">
      <c r="A45" s="80">
        <v>18</v>
      </c>
      <c r="B45" s="55" t="s">
        <v>1034</v>
      </c>
      <c r="C45" s="57">
        <f>'Planilha de Cotação'!G520</f>
        <v>147914.7138</v>
      </c>
      <c r="D45" s="81"/>
      <c r="E45" s="81"/>
      <c r="F45" s="81"/>
      <c r="G45" s="81"/>
      <c r="H45" s="81"/>
      <c r="I45" s="81"/>
      <c r="J45" s="81">
        <v>0.3</v>
      </c>
      <c r="K45" s="81">
        <v>0.7</v>
      </c>
    </row>
    <row r="46" spans="1:11" ht="21.95" customHeight="1" x14ac:dyDescent="0.25">
      <c r="A46" s="80"/>
      <c r="B46" s="55"/>
      <c r="C46" s="83">
        <f>SUM(D45:K45)</f>
        <v>1</v>
      </c>
      <c r="D46" s="84">
        <f t="shared" ref="D46:K46" si="17">$C45*D45</f>
        <v>0</v>
      </c>
      <c r="E46" s="84">
        <f t="shared" si="17"/>
        <v>0</v>
      </c>
      <c r="F46" s="84">
        <f t="shared" si="17"/>
        <v>0</v>
      </c>
      <c r="G46" s="84">
        <f t="shared" si="17"/>
        <v>0</v>
      </c>
      <c r="H46" s="84">
        <f t="shared" si="17"/>
        <v>0</v>
      </c>
      <c r="I46" s="84">
        <f t="shared" si="17"/>
        <v>0</v>
      </c>
      <c r="J46" s="84">
        <f t="shared" si="17"/>
        <v>44374.414140000001</v>
      </c>
      <c r="K46" s="84">
        <f t="shared" si="17"/>
        <v>103540.29965999999</v>
      </c>
    </row>
    <row r="47" spans="1:11" ht="21.95" customHeight="1" x14ac:dyDescent="0.25">
      <c r="A47" s="80">
        <v>19</v>
      </c>
      <c r="B47" s="55" t="s">
        <v>1104</v>
      </c>
      <c r="C47" s="57">
        <f>'Planilha de Cotação'!G555</f>
        <v>10219.003000000001</v>
      </c>
      <c r="D47" s="81"/>
      <c r="E47" s="81"/>
      <c r="F47" s="81"/>
      <c r="G47" s="81"/>
      <c r="H47" s="81">
        <v>0.5</v>
      </c>
      <c r="I47" s="81">
        <v>0.5</v>
      </c>
      <c r="J47" s="81"/>
      <c r="K47" s="81"/>
    </row>
    <row r="48" spans="1:11" ht="21.95" customHeight="1" x14ac:dyDescent="0.25">
      <c r="A48" s="80"/>
      <c r="B48" s="55"/>
      <c r="C48" s="83">
        <f>SUM(D47:K47)</f>
        <v>1</v>
      </c>
      <c r="D48" s="84">
        <f t="shared" ref="D48:K48" si="18">$C47*D47</f>
        <v>0</v>
      </c>
      <c r="E48" s="84">
        <f t="shared" si="18"/>
        <v>0</v>
      </c>
      <c r="F48" s="84">
        <f t="shared" si="18"/>
        <v>0</v>
      </c>
      <c r="G48" s="84">
        <f t="shared" si="18"/>
        <v>0</v>
      </c>
      <c r="H48" s="84">
        <f t="shared" si="18"/>
        <v>5109.5015000000003</v>
      </c>
      <c r="I48" s="84">
        <f t="shared" si="18"/>
        <v>5109.5015000000003</v>
      </c>
      <c r="J48" s="84">
        <f t="shared" si="18"/>
        <v>0</v>
      </c>
      <c r="K48" s="84">
        <f t="shared" si="18"/>
        <v>0</v>
      </c>
    </row>
    <row r="49" spans="1:22" ht="21.95" customHeight="1" x14ac:dyDescent="0.25">
      <c r="A49" s="80">
        <v>20</v>
      </c>
      <c r="B49" s="55" t="s">
        <v>1141</v>
      </c>
      <c r="C49" s="57">
        <f>'Planilha de Cotação'!G578</f>
        <v>20231.956299999994</v>
      </c>
      <c r="D49" s="81"/>
      <c r="E49" s="81"/>
      <c r="F49" s="81"/>
      <c r="G49" s="81"/>
      <c r="H49" s="81"/>
      <c r="I49" s="81"/>
      <c r="J49" s="81">
        <v>0.5</v>
      </c>
      <c r="K49" s="81">
        <v>0.5</v>
      </c>
    </row>
    <row r="50" spans="1:22" ht="21.95" customHeight="1" x14ac:dyDescent="0.25">
      <c r="A50" s="80"/>
      <c r="B50" s="55"/>
      <c r="C50" s="83">
        <f>SUM(D49:K49)</f>
        <v>1</v>
      </c>
      <c r="D50" s="84">
        <f t="shared" ref="D50:K50" si="19">$C49*D49</f>
        <v>0</v>
      </c>
      <c r="E50" s="84">
        <f t="shared" si="19"/>
        <v>0</v>
      </c>
      <c r="F50" s="84">
        <f t="shared" si="19"/>
        <v>0</v>
      </c>
      <c r="G50" s="84">
        <f t="shared" si="19"/>
        <v>0</v>
      </c>
      <c r="H50" s="84">
        <f t="shared" si="19"/>
        <v>0</v>
      </c>
      <c r="I50" s="84">
        <f t="shared" si="19"/>
        <v>0</v>
      </c>
      <c r="J50" s="84">
        <f t="shared" si="19"/>
        <v>10115.978149999997</v>
      </c>
      <c r="K50" s="84">
        <f t="shared" si="19"/>
        <v>10115.978149999997</v>
      </c>
    </row>
    <row r="51" spans="1:22" ht="21.95" customHeight="1" x14ac:dyDescent="0.25">
      <c r="A51" s="80">
        <v>21</v>
      </c>
      <c r="B51" s="55" t="s">
        <v>1193</v>
      </c>
      <c r="C51" s="57">
        <f>'Planilha de Cotação'!G607</f>
        <v>103032.799</v>
      </c>
      <c r="D51" s="81"/>
      <c r="E51" s="81">
        <v>0.1</v>
      </c>
      <c r="F51" s="81">
        <v>0.2</v>
      </c>
      <c r="G51" s="81">
        <v>0.2</v>
      </c>
      <c r="H51" s="81">
        <v>0.25</v>
      </c>
      <c r="I51" s="81">
        <v>0.25</v>
      </c>
      <c r="J51" s="81"/>
      <c r="K51" s="81"/>
    </row>
    <row r="52" spans="1:22" ht="21.95" customHeight="1" x14ac:dyDescent="0.25">
      <c r="A52" s="80"/>
      <c r="B52" s="55"/>
      <c r="C52" s="83">
        <f>SUM(D51:K51)</f>
        <v>1</v>
      </c>
      <c r="D52" s="84">
        <f t="shared" ref="D52:K52" si="20">$C51*D51</f>
        <v>0</v>
      </c>
      <c r="E52" s="84">
        <f t="shared" si="20"/>
        <v>10303.279900000001</v>
      </c>
      <c r="F52" s="84">
        <f t="shared" si="20"/>
        <v>20606.559800000003</v>
      </c>
      <c r="G52" s="84">
        <f t="shared" si="20"/>
        <v>20606.559800000003</v>
      </c>
      <c r="H52" s="84">
        <f t="shared" si="20"/>
        <v>25758.19975</v>
      </c>
      <c r="I52" s="84">
        <f t="shared" si="20"/>
        <v>25758.19975</v>
      </c>
      <c r="J52" s="84">
        <f t="shared" si="20"/>
        <v>0</v>
      </c>
      <c r="K52" s="84">
        <f t="shared" si="20"/>
        <v>0</v>
      </c>
    </row>
    <row r="53" spans="1:22" ht="21.95" customHeight="1" x14ac:dyDescent="0.25">
      <c r="A53" s="80">
        <v>22</v>
      </c>
      <c r="B53" s="55" t="s">
        <v>1300</v>
      </c>
      <c r="C53" s="57">
        <f>'Planilha de Cotação'!G661</f>
        <v>74805.649900000004</v>
      </c>
      <c r="D53" s="81"/>
      <c r="E53" s="81"/>
      <c r="F53" s="81"/>
      <c r="G53" s="81"/>
      <c r="H53" s="81">
        <v>0.2</v>
      </c>
      <c r="I53" s="81">
        <v>0.2</v>
      </c>
      <c r="J53" s="81">
        <v>0.3</v>
      </c>
      <c r="K53" s="81">
        <v>0.3</v>
      </c>
    </row>
    <row r="54" spans="1:22" ht="21.95" customHeight="1" x14ac:dyDescent="0.25">
      <c r="A54" s="80"/>
      <c r="B54" s="55"/>
      <c r="C54" s="83">
        <f>SUM(D53:K53)</f>
        <v>1</v>
      </c>
      <c r="D54" s="84">
        <f t="shared" ref="D54:K54" si="21">$C53*D53</f>
        <v>0</v>
      </c>
      <c r="E54" s="84">
        <f t="shared" si="21"/>
        <v>0</v>
      </c>
      <c r="F54" s="84">
        <f t="shared" si="21"/>
        <v>0</v>
      </c>
      <c r="G54" s="84">
        <f t="shared" si="21"/>
        <v>0</v>
      </c>
      <c r="H54" s="84">
        <f t="shared" si="21"/>
        <v>14961.129980000002</v>
      </c>
      <c r="I54" s="84">
        <f t="shared" si="21"/>
        <v>14961.129980000002</v>
      </c>
      <c r="J54" s="84">
        <f t="shared" si="21"/>
        <v>22441.69497</v>
      </c>
      <c r="K54" s="84">
        <f t="shared" si="21"/>
        <v>22441.69497</v>
      </c>
    </row>
    <row r="55" spans="1:22" ht="21.95" customHeight="1" x14ac:dyDescent="0.25">
      <c r="A55" s="80">
        <v>23</v>
      </c>
      <c r="B55" s="55" t="s">
        <v>1408</v>
      </c>
      <c r="C55" s="57">
        <f>'Planilha de Cotação'!G718</f>
        <v>35975.343099999998</v>
      </c>
      <c r="D55" s="81"/>
      <c r="E55" s="81"/>
      <c r="F55" s="81"/>
      <c r="G55" s="81"/>
      <c r="H55" s="81"/>
      <c r="I55" s="81"/>
      <c r="J55" s="81">
        <v>0.5</v>
      </c>
      <c r="K55" s="81">
        <v>0.5</v>
      </c>
      <c r="O55" s="70"/>
      <c r="P55" s="70"/>
      <c r="Q55" s="70"/>
      <c r="R55" s="70"/>
      <c r="S55" s="70"/>
      <c r="T55" s="70"/>
      <c r="U55" s="70"/>
      <c r="V55" s="70"/>
    </row>
    <row r="56" spans="1:22" ht="21.95" customHeight="1" x14ac:dyDescent="0.25">
      <c r="A56" s="80"/>
      <c r="B56" s="55"/>
      <c r="C56" s="83">
        <f>SUM(D55:K55)</f>
        <v>1</v>
      </c>
      <c r="D56" s="84">
        <f t="shared" ref="D56:K56" si="22">$C55*D55</f>
        <v>0</v>
      </c>
      <c r="E56" s="84">
        <f t="shared" si="22"/>
        <v>0</v>
      </c>
      <c r="F56" s="84">
        <f t="shared" si="22"/>
        <v>0</v>
      </c>
      <c r="G56" s="84">
        <f t="shared" si="22"/>
        <v>0</v>
      </c>
      <c r="H56" s="84">
        <f t="shared" si="22"/>
        <v>0</v>
      </c>
      <c r="I56" s="84">
        <f t="shared" si="22"/>
        <v>0</v>
      </c>
      <c r="J56" s="84">
        <f t="shared" si="22"/>
        <v>17987.671549999999</v>
      </c>
      <c r="K56" s="84">
        <f t="shared" si="22"/>
        <v>17987.671549999999</v>
      </c>
      <c r="T56" s="70"/>
      <c r="U56" s="70"/>
    </row>
    <row r="57" spans="1:22" ht="21.95" customHeight="1" x14ac:dyDescent="0.25">
      <c r="A57" s="80">
        <v>24</v>
      </c>
      <c r="B57" s="55" t="s">
        <v>1466</v>
      </c>
      <c r="C57" s="57">
        <f>'Planilha de Cotação'!G747</f>
        <v>31810.29</v>
      </c>
      <c r="D57" s="81"/>
      <c r="E57" s="81"/>
      <c r="F57" s="81"/>
      <c r="G57" s="81"/>
      <c r="H57" s="81"/>
      <c r="I57" s="81"/>
      <c r="J57" s="81">
        <v>0.5</v>
      </c>
      <c r="K57" s="81">
        <v>0.5</v>
      </c>
      <c r="P57" s="70"/>
      <c r="Q57" s="70"/>
      <c r="R57" s="70"/>
      <c r="S57" s="70"/>
      <c r="T57" s="70"/>
      <c r="U57" s="70"/>
      <c r="V57" s="70"/>
    </row>
    <row r="58" spans="1:22" ht="21.95" customHeight="1" x14ac:dyDescent="0.25">
      <c r="A58" s="80"/>
      <c r="B58" s="55"/>
      <c r="C58" s="83">
        <f>SUM(D57:K57)</f>
        <v>1</v>
      </c>
      <c r="D58" s="84">
        <f t="shared" ref="D58:K58" si="23">$C57*D57</f>
        <v>0</v>
      </c>
      <c r="E58" s="84">
        <f t="shared" si="23"/>
        <v>0</v>
      </c>
      <c r="F58" s="84">
        <f t="shared" si="23"/>
        <v>0</v>
      </c>
      <c r="G58" s="84">
        <f t="shared" si="23"/>
        <v>0</v>
      </c>
      <c r="H58" s="84">
        <f t="shared" si="23"/>
        <v>0</v>
      </c>
      <c r="I58" s="84">
        <f t="shared" si="23"/>
        <v>0</v>
      </c>
      <c r="J58" s="84">
        <f t="shared" si="23"/>
        <v>15905.145</v>
      </c>
      <c r="K58" s="84">
        <f t="shared" si="23"/>
        <v>15905.145</v>
      </c>
    </row>
    <row r="59" spans="1:22" ht="21.95" customHeight="1" x14ac:dyDescent="0.25">
      <c r="A59" s="80">
        <v>25</v>
      </c>
      <c r="B59" s="55" t="s">
        <v>1502</v>
      </c>
      <c r="C59" s="57">
        <f>'Planilha de Cotação'!G765</f>
        <v>8078.59</v>
      </c>
      <c r="D59" s="81"/>
      <c r="E59" s="81"/>
      <c r="F59" s="81"/>
      <c r="G59" s="81"/>
      <c r="H59" s="81"/>
      <c r="I59" s="81"/>
      <c r="J59" s="81">
        <v>0.5</v>
      </c>
      <c r="K59" s="81">
        <v>0.5</v>
      </c>
    </row>
    <row r="60" spans="1:22" ht="21.95" customHeight="1" x14ac:dyDescent="0.25">
      <c r="A60" s="80"/>
      <c r="B60" s="55"/>
      <c r="C60" s="83">
        <f>SUM(D59:K59)</f>
        <v>1</v>
      </c>
      <c r="D60" s="84">
        <f t="shared" ref="D60:K60" si="24">$C59*D59</f>
        <v>0</v>
      </c>
      <c r="E60" s="84">
        <f t="shared" si="24"/>
        <v>0</v>
      </c>
      <c r="F60" s="84">
        <f t="shared" si="24"/>
        <v>0</v>
      </c>
      <c r="G60" s="84">
        <f t="shared" si="24"/>
        <v>0</v>
      </c>
      <c r="H60" s="84">
        <f t="shared" si="24"/>
        <v>0</v>
      </c>
      <c r="I60" s="84">
        <f t="shared" si="24"/>
        <v>0</v>
      </c>
      <c r="J60" s="84">
        <f t="shared" si="24"/>
        <v>4039.2950000000001</v>
      </c>
      <c r="K60" s="84">
        <f t="shared" si="24"/>
        <v>4039.2950000000001</v>
      </c>
    </row>
    <row r="61" spans="1:22" ht="21.95" customHeight="1" x14ac:dyDescent="0.25">
      <c r="A61" s="80">
        <v>26</v>
      </c>
      <c r="B61" s="55" t="s">
        <v>1511</v>
      </c>
      <c r="C61" s="57">
        <f>'Planilha de Cotação'!G769</f>
        <v>2513.4659999999999</v>
      </c>
      <c r="D61" s="81"/>
      <c r="E61" s="81"/>
      <c r="F61" s="81"/>
      <c r="G61" s="81"/>
      <c r="H61" s="81"/>
      <c r="I61" s="81"/>
      <c r="J61" s="81"/>
      <c r="K61" s="81">
        <v>1</v>
      </c>
    </row>
    <row r="62" spans="1:22" ht="21.95" customHeight="1" x14ac:dyDescent="0.25">
      <c r="A62" s="80"/>
      <c r="B62" s="55"/>
      <c r="C62" s="83">
        <f>SUM(D61:K61)</f>
        <v>1</v>
      </c>
      <c r="D62" s="84">
        <f t="shared" ref="D62:K62" si="25">$C61*D61</f>
        <v>0</v>
      </c>
      <c r="E62" s="84">
        <f t="shared" si="25"/>
        <v>0</v>
      </c>
      <c r="F62" s="84">
        <f t="shared" si="25"/>
        <v>0</v>
      </c>
      <c r="G62" s="84">
        <f t="shared" si="25"/>
        <v>0</v>
      </c>
      <c r="H62" s="84">
        <f t="shared" si="25"/>
        <v>0</v>
      </c>
      <c r="I62" s="84">
        <f t="shared" si="25"/>
        <v>0</v>
      </c>
      <c r="J62" s="84">
        <f t="shared" si="25"/>
        <v>0</v>
      </c>
      <c r="K62" s="84">
        <f t="shared" si="25"/>
        <v>2513.4659999999999</v>
      </c>
    </row>
    <row r="63" spans="1:22" x14ac:dyDescent="0.25">
      <c r="C63" s="85" t="s">
        <v>1525</v>
      </c>
      <c r="D63" s="86">
        <f t="shared" ref="D63:K63" si="26">D64/$E$68</f>
        <v>5.6718114096230773E-2</v>
      </c>
      <c r="E63" s="86">
        <f t="shared" si="26"/>
        <v>0.11479882332562998</v>
      </c>
      <c r="F63" s="86">
        <f t="shared" si="26"/>
        <v>0.13878547171901684</v>
      </c>
      <c r="G63" s="86">
        <f t="shared" si="26"/>
        <v>0.13387830376797674</v>
      </c>
      <c r="H63" s="86">
        <f t="shared" si="26"/>
        <v>0.13405133347776585</v>
      </c>
      <c r="I63" s="86">
        <f t="shared" si="26"/>
        <v>0.12694152964216485</v>
      </c>
      <c r="J63" s="86">
        <f t="shared" si="26"/>
        <v>0.12684668698038815</v>
      </c>
      <c r="K63" s="86">
        <f t="shared" si="26"/>
        <v>0.16797973699082677</v>
      </c>
    </row>
    <row r="64" spans="1:22" x14ac:dyDescent="0.25">
      <c r="C64" s="87" t="s">
        <v>1526</v>
      </c>
      <c r="D64" s="88">
        <f t="shared" ref="D64:K64" si="27">D12+D14+D16+D18+D20+D22+D24+D26+D28+D30+D32+D34+D36+D38+D40+D42+D44+D46+D48+D50+D52+D54+D56+D58+D60+D62</f>
        <v>156015.17442</v>
      </c>
      <c r="E64" s="88">
        <f t="shared" si="27"/>
        <v>315778.45508000004</v>
      </c>
      <c r="F64" s="88">
        <f t="shared" si="27"/>
        <v>381758.80707999994</v>
      </c>
      <c r="G64" s="88">
        <f t="shared" si="27"/>
        <v>368260.60327000002</v>
      </c>
      <c r="H64" s="88">
        <f t="shared" si="27"/>
        <v>368736.55809999997</v>
      </c>
      <c r="I64" s="88">
        <f t="shared" si="27"/>
        <v>349179.53820999997</v>
      </c>
      <c r="J64" s="88">
        <f t="shared" si="27"/>
        <v>348918.65340000001</v>
      </c>
      <c r="K64" s="88">
        <f t="shared" si="27"/>
        <v>462063.81124000013</v>
      </c>
    </row>
    <row r="65" spans="3:11" ht="22.5" x14ac:dyDescent="0.25">
      <c r="C65" s="89" t="s">
        <v>1527</v>
      </c>
      <c r="D65" s="90">
        <f>D63</f>
        <v>5.6718114096230773E-2</v>
      </c>
      <c r="E65" s="90">
        <f t="shared" ref="E65:K65" si="28">D65+E63</f>
        <v>0.17151693742186075</v>
      </c>
      <c r="F65" s="90">
        <f t="shared" si="28"/>
        <v>0.31030240914087759</v>
      </c>
      <c r="G65" s="90">
        <f t="shared" si="28"/>
        <v>0.4441807129088543</v>
      </c>
      <c r="H65" s="90">
        <f t="shared" si="28"/>
        <v>0.57823204638662018</v>
      </c>
      <c r="I65" s="90">
        <f t="shared" si="28"/>
        <v>0.70517357602878505</v>
      </c>
      <c r="J65" s="90">
        <f t="shared" si="28"/>
        <v>0.8320202630091732</v>
      </c>
      <c r="K65" s="90">
        <f t="shared" si="28"/>
        <v>1</v>
      </c>
    </row>
    <row r="66" spans="3:11" ht="22.5" x14ac:dyDescent="0.25">
      <c r="C66" s="89" t="s">
        <v>1528</v>
      </c>
      <c r="D66" s="91">
        <f>D64</f>
        <v>156015.17442</v>
      </c>
      <c r="E66" s="91">
        <f t="shared" ref="E66:K66" si="29">D66+E64</f>
        <v>471793.62950000004</v>
      </c>
      <c r="F66" s="91">
        <f t="shared" si="29"/>
        <v>853552.43657999998</v>
      </c>
      <c r="G66" s="91">
        <f t="shared" si="29"/>
        <v>1221813.0398500001</v>
      </c>
      <c r="H66" s="91">
        <f t="shared" si="29"/>
        <v>1590549.5979500001</v>
      </c>
      <c r="I66" s="91">
        <f t="shared" si="29"/>
        <v>1939729.13616</v>
      </c>
      <c r="J66" s="91">
        <f t="shared" si="29"/>
        <v>2288647.7895599999</v>
      </c>
      <c r="K66" s="91">
        <f t="shared" si="29"/>
        <v>2750711.6008000001</v>
      </c>
    </row>
    <row r="67" spans="3:11" x14ac:dyDescent="0.25">
      <c r="C67" s="89"/>
      <c r="D67" s="89"/>
      <c r="E67" s="89"/>
    </row>
    <row r="68" spans="3:11" x14ac:dyDescent="0.25">
      <c r="C68" s="89" t="s">
        <v>1514</v>
      </c>
      <c r="D68" s="89"/>
      <c r="E68" s="92">
        <f>C11+C13+C15+C17+C19+C21+C23+C25+C27+C29+C31+C33+C35+C37+C39+C41+C43+C45+C47+C49+C51+C53+C55+C57+C59+C61</f>
        <v>2750711.6008000001</v>
      </c>
    </row>
  </sheetData>
  <sheetProtection algorithmName="SHA-512" hashValue="zCRXrrbvOXCRFRZFzO09gCxwsXlS69tnkGT7OkbElV7b7ZX3LVuMSmFQ+mpxJcH1RAXw2J/w1Q1dsYOqsMHn7g==" saltValue="YF0kr04dp1BNZmKepOUmkA==" spinCount="100000" sheet="1"/>
  <mergeCells count="2">
    <mergeCell ref="A1:B4"/>
    <mergeCell ref="A9:K9"/>
  </mergeCells>
  <pageMargins left="0.51180555555555496" right="0.51180555555555496" top="0.78749999999999998" bottom="0.78749999999999998" header="0.51180555555555496" footer="0.31527777777777799"/>
  <pageSetup paperSize="9" scale="53" firstPageNumber="0" orientation="portrait" verticalDpi="0" r:id="rId1"/>
  <headerFooter>
    <oddFooter>&amp;CPágina &amp;P de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TotalTime>20</TotalTime>
  <Application>Microsoft Excel</Application>
  <DocSecurity>0</DocSecurity>
  <ScaleCrop>false</ScaleCrop>
  <HeadingPairs>
    <vt:vector size="4" baseType="variant">
      <vt:variant>
        <vt:lpstr>Planilhas</vt:lpstr>
      </vt:variant>
      <vt:variant>
        <vt:i4>3</vt:i4>
      </vt:variant>
      <vt:variant>
        <vt:lpstr>Intervalos Nomeados</vt:lpstr>
      </vt:variant>
      <vt:variant>
        <vt:i4>18</vt:i4>
      </vt:variant>
    </vt:vector>
  </HeadingPairs>
  <TitlesOfParts>
    <vt:vector size="21" baseType="lpstr">
      <vt:lpstr>Proposta de preços</vt:lpstr>
      <vt:lpstr>Planilha de Cotação</vt:lpstr>
      <vt:lpstr>Cronograma físico-financeiro</vt:lpstr>
      <vt:lpstr>'Planilha de Cotação'!_FilterDatabase_0</vt:lpstr>
      <vt:lpstr>'Planilha de Cotação'!_FilterDatabase_0_0</vt:lpstr>
      <vt:lpstr>'Planilha de Cotação'!_FilterDatabase_0_0_0</vt:lpstr>
      <vt:lpstr>'Planilha de Cotação'!_FiltrarBancodeDados</vt:lpstr>
      <vt:lpstr>'Cronograma físico-financeiro'!Area_de_impressao</vt:lpstr>
      <vt:lpstr>'Planilha de Cotação'!Area_de_impressao</vt:lpstr>
      <vt:lpstr>'Proposta de preços'!Area_de_impressao</vt:lpstr>
      <vt:lpstr>'Cronograma físico-financeiro'!Print_Area_0</vt:lpstr>
      <vt:lpstr>'Cronograma físico-financeiro'!Print_Area_0_0</vt:lpstr>
      <vt:lpstr>'Cronograma físico-financeiro'!Print_Area_0_0_0</vt:lpstr>
      <vt:lpstr>'Cronograma físico-financeiro'!Print_Titles_0</vt:lpstr>
      <vt:lpstr>'Planilha de Cotação'!Print_Titles_0</vt:lpstr>
      <vt:lpstr>'Cronograma físico-financeiro'!Print_Titles_0_0</vt:lpstr>
      <vt:lpstr>'Planilha de Cotação'!Print_Titles_0_0</vt:lpstr>
      <vt:lpstr>'Cronograma físico-financeiro'!Print_Titles_0_0_0</vt:lpstr>
      <vt:lpstr>'Planilha de Cotação'!Print_Titles_0_0_0</vt:lpstr>
      <vt:lpstr>'Cronograma físico-financeiro'!Titulos_de_impressao</vt:lpstr>
      <vt:lpstr>'Planilha de Cotação'!Titulos_de_impressao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Tiago Oliveira De Lira</dc:creator>
  <cp:lastModifiedBy>Danilo Marcio Da Cruz Santos Pereira</cp:lastModifiedBy>
  <cp:revision>4</cp:revision>
  <cp:lastPrinted>2017-12-18T12:52:05Z</cp:lastPrinted>
  <dcterms:created xsi:type="dcterms:W3CDTF">2017-12-11T08:30:19Z</dcterms:created>
  <dcterms:modified xsi:type="dcterms:W3CDTF">2018-02-07T14:13:19Z</dcterms:modified>
  <dc:language>pt-BR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